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opbox\Dropbox (個人)\公開データ\"/>
    </mc:Choice>
  </mc:AlternateContent>
  <bookViews>
    <workbookView xWindow="0" yWindow="0" windowWidth="30450" windowHeight="13260" tabRatio="833"/>
  </bookViews>
  <sheets>
    <sheet name="シミュレーション設定" sheetId="37" r:id="rId1"/>
    <sheet name="system" sheetId="43" r:id="rId2"/>
    <sheet name="売電単価" sheetId="44" r:id="rId3"/>
    <sheet name="パラメータ類" sheetId="6" r:id="rId4"/>
    <sheet name="バージョン情報" sheetId="38" r:id="rId5"/>
    <sheet name="皆さんのデータ" sheetId="41" r:id="rId6"/>
    <sheet name="価格推定" sheetId="42" r:id="rId7"/>
  </sheets>
  <definedNames>
    <definedName name="yane" localSheetId="3">パラメータ類!#REF!</definedName>
  </definedNames>
  <calcPr calcId="162913"/>
</workbook>
</file>

<file path=xl/calcChain.xml><?xml version="1.0" encoding="utf-8"?>
<calcChain xmlns="http://schemas.openxmlformats.org/spreadsheetml/2006/main">
  <c r="D21" i="37" l="1"/>
  <c r="D12" i="37" l="1"/>
  <c r="B22" i="37"/>
  <c r="R27" i="37" l="1"/>
  <c r="R28" i="37" s="1"/>
  <c r="D23" i="37"/>
  <c r="R29" i="37" l="1"/>
  <c r="Y28" i="37"/>
  <c r="R30" i="37" l="1"/>
  <c r="Y29" i="37"/>
  <c r="R31" i="37" l="1"/>
  <c r="Y30" i="37"/>
  <c r="R32" i="37" l="1"/>
  <c r="Y31" i="37"/>
  <c r="R33" i="37" l="1"/>
  <c r="Y32" i="37"/>
  <c r="R34" i="37" l="1"/>
  <c r="Y33" i="37"/>
  <c r="R35" i="37" l="1"/>
  <c r="Y34" i="37"/>
  <c r="R36" i="37" l="1"/>
  <c r="Y36" i="37" s="1"/>
  <c r="Y35" i="37"/>
  <c r="D29" i="37"/>
  <c r="AG7" i="37"/>
  <c r="K7" i="37"/>
  <c r="M2" i="43"/>
  <c r="M4" i="43" s="1"/>
  <c r="D15" i="37" s="1"/>
  <c r="M3" i="43"/>
  <c r="L82" i="44"/>
  <c r="M82" i="44"/>
  <c r="N82" i="44"/>
  <c r="N83" i="44" s="1"/>
  <c r="N84" i="44" s="1"/>
  <c r="N85" i="44" s="1"/>
  <c r="N86" i="44" s="1"/>
  <c r="N87" i="44" s="1"/>
  <c r="N88" i="44" s="1"/>
  <c r="N89" i="44" s="1"/>
  <c r="N90" i="44" s="1"/>
  <c r="N91" i="44" s="1"/>
  <c r="N92" i="44" s="1"/>
  <c r="N93" i="44" s="1"/>
  <c r="N94" i="44" s="1"/>
  <c r="N95" i="44" s="1"/>
  <c r="N96" i="44" s="1"/>
  <c r="N97" i="44" s="1"/>
  <c r="N98" i="44" s="1"/>
  <c r="N99" i="44" s="1"/>
  <c r="N100" i="44" s="1"/>
  <c r="N101" i="44" s="1"/>
  <c r="N102" i="44" s="1"/>
  <c r="N103" i="44" s="1"/>
  <c r="N104" i="44" s="1"/>
  <c r="N105" i="44" s="1"/>
  <c r="N106" i="44" s="1"/>
  <c r="N107" i="44" s="1"/>
  <c r="N108" i="44" s="1"/>
  <c r="N109" i="44" s="1"/>
  <c r="N110" i="44" s="1"/>
  <c r="N111" i="44" s="1"/>
  <c r="N112" i="44" s="1"/>
  <c r="N113" i="44" s="1"/>
  <c r="N114" i="44" s="1"/>
  <c r="N115" i="44" s="1"/>
  <c r="N116" i="44" s="1"/>
  <c r="N117" i="44" s="1"/>
  <c r="N118" i="44" s="1"/>
  <c r="N119" i="44" s="1"/>
  <c r="N120" i="44" s="1"/>
  <c r="N121" i="44" s="1"/>
  <c r="N122" i="44" s="1"/>
  <c r="N123" i="44" s="1"/>
  <c r="N124" i="44" s="1"/>
  <c r="N125" i="44" s="1"/>
  <c r="N126" i="44" s="1"/>
  <c r="N127" i="44" s="1"/>
  <c r="N128" i="44" s="1"/>
  <c r="N129" i="44" s="1"/>
  <c r="N130" i="44" s="1"/>
  <c r="N131" i="44" s="1"/>
  <c r="N132" i="44" s="1"/>
  <c r="N133" i="44" s="1"/>
  <c r="N134" i="44" s="1"/>
  <c r="N135" i="44" s="1"/>
  <c r="N136" i="44" s="1"/>
  <c r="N137" i="44" s="1"/>
  <c r="O82" i="44"/>
  <c r="O83" i="44" s="1"/>
  <c r="O84" i="44" s="1"/>
  <c r="O85" i="44" s="1"/>
  <c r="O86" i="44" s="1"/>
  <c r="O87" i="44" s="1"/>
  <c r="O88" i="44" s="1"/>
  <c r="O89" i="44" s="1"/>
  <c r="O90" i="44" s="1"/>
  <c r="O91" i="44" s="1"/>
  <c r="O92" i="44" s="1"/>
  <c r="O93" i="44" s="1"/>
  <c r="O94" i="44" s="1"/>
  <c r="O95" i="44" s="1"/>
  <c r="O96" i="44" s="1"/>
  <c r="O97" i="44" s="1"/>
  <c r="O98" i="44" s="1"/>
  <c r="O99" i="44" s="1"/>
  <c r="O100" i="44" s="1"/>
  <c r="O101" i="44" s="1"/>
  <c r="O102" i="44" s="1"/>
  <c r="O103" i="44" s="1"/>
  <c r="O104" i="44" s="1"/>
  <c r="O105" i="44" s="1"/>
  <c r="O106" i="44" s="1"/>
  <c r="O107" i="44" s="1"/>
  <c r="O108" i="44" s="1"/>
  <c r="O109" i="44" s="1"/>
  <c r="O110" i="44" s="1"/>
  <c r="O111" i="44" s="1"/>
  <c r="O112" i="44" s="1"/>
  <c r="O113" i="44" s="1"/>
  <c r="O114" i="44" s="1"/>
  <c r="O115" i="44" s="1"/>
  <c r="O116" i="44" s="1"/>
  <c r="O117" i="44" s="1"/>
  <c r="O118" i="44" s="1"/>
  <c r="O119" i="44" s="1"/>
  <c r="O120" i="44" s="1"/>
  <c r="O121" i="44" s="1"/>
  <c r="O122" i="44" s="1"/>
  <c r="O123" i="44" s="1"/>
  <c r="O124" i="44" s="1"/>
  <c r="O125" i="44" s="1"/>
  <c r="O126" i="44" s="1"/>
  <c r="O127" i="44" s="1"/>
  <c r="O128" i="44" s="1"/>
  <c r="O129" i="44" s="1"/>
  <c r="O130" i="44" s="1"/>
  <c r="O131" i="44" s="1"/>
  <c r="O132" i="44" s="1"/>
  <c r="O133" i="44" s="1"/>
  <c r="O134" i="44" s="1"/>
  <c r="O135" i="44" s="1"/>
  <c r="O136" i="44" s="1"/>
  <c r="O137" i="44" s="1"/>
  <c r="L83" i="44"/>
  <c r="L84" i="44" s="1"/>
  <c r="L85" i="44" s="1"/>
  <c r="L86" i="44" s="1"/>
  <c r="L87" i="44" s="1"/>
  <c r="L88" i="44" s="1"/>
  <c r="L89" i="44" s="1"/>
  <c r="L90" i="44" s="1"/>
  <c r="L91" i="44" s="1"/>
  <c r="L92" i="44" s="1"/>
  <c r="L93" i="44" s="1"/>
  <c r="L94" i="44" s="1"/>
  <c r="L95" i="44" s="1"/>
  <c r="L96" i="44" s="1"/>
  <c r="L97" i="44" s="1"/>
  <c r="L98" i="44" s="1"/>
  <c r="L99" i="44" s="1"/>
  <c r="L100" i="44" s="1"/>
  <c r="L101" i="44" s="1"/>
  <c r="L102" i="44" s="1"/>
  <c r="L103" i="44" s="1"/>
  <c r="L104" i="44" s="1"/>
  <c r="L105" i="44" s="1"/>
  <c r="L106" i="44" s="1"/>
  <c r="L107" i="44" s="1"/>
  <c r="L108" i="44" s="1"/>
  <c r="L109" i="44" s="1"/>
  <c r="L110" i="44" s="1"/>
  <c r="L111" i="44" s="1"/>
  <c r="L112" i="44" s="1"/>
  <c r="L113" i="44" s="1"/>
  <c r="L114" i="44" s="1"/>
  <c r="L115" i="44" s="1"/>
  <c r="L116" i="44" s="1"/>
  <c r="L117" i="44" s="1"/>
  <c r="L118" i="44" s="1"/>
  <c r="L119" i="44" s="1"/>
  <c r="L120" i="44" s="1"/>
  <c r="L121" i="44" s="1"/>
  <c r="L122" i="44" s="1"/>
  <c r="L123" i="44" s="1"/>
  <c r="L124" i="44" s="1"/>
  <c r="L125" i="44" s="1"/>
  <c r="L126" i="44" s="1"/>
  <c r="L127" i="44" s="1"/>
  <c r="L128" i="44" s="1"/>
  <c r="L129" i="44" s="1"/>
  <c r="L130" i="44" s="1"/>
  <c r="L131" i="44" s="1"/>
  <c r="L132" i="44" s="1"/>
  <c r="L133" i="44" s="1"/>
  <c r="L134" i="44" s="1"/>
  <c r="L135" i="44" s="1"/>
  <c r="L136" i="44" s="1"/>
  <c r="L137" i="44" s="1"/>
  <c r="M83" i="44"/>
  <c r="M84" i="44" s="1"/>
  <c r="M85" i="44" s="1"/>
  <c r="M86" i="44" s="1"/>
  <c r="M87" i="44" s="1"/>
  <c r="M88" i="44" s="1"/>
  <c r="M89" i="44" s="1"/>
  <c r="M90" i="44" s="1"/>
  <c r="M91" i="44" s="1"/>
  <c r="M92" i="44" s="1"/>
  <c r="M93" i="44" s="1"/>
  <c r="M94" i="44" s="1"/>
  <c r="M95" i="44" s="1"/>
  <c r="M96" i="44" s="1"/>
  <c r="M97" i="44" s="1"/>
  <c r="M98" i="44" s="1"/>
  <c r="M99" i="44" s="1"/>
  <c r="M100" i="44" s="1"/>
  <c r="M101" i="44" s="1"/>
  <c r="M102" i="44" s="1"/>
  <c r="M103" i="44" s="1"/>
  <c r="M104" i="44" s="1"/>
  <c r="M105" i="44" s="1"/>
  <c r="M106" i="44" s="1"/>
  <c r="M107" i="44" s="1"/>
  <c r="M108" i="44" s="1"/>
  <c r="M109" i="44" s="1"/>
  <c r="M110" i="44" s="1"/>
  <c r="M111" i="44" s="1"/>
  <c r="M112" i="44" s="1"/>
  <c r="M113" i="44" s="1"/>
  <c r="M114" i="44" s="1"/>
  <c r="M115" i="44" s="1"/>
  <c r="M116" i="44" s="1"/>
  <c r="M117" i="44" s="1"/>
  <c r="M118" i="44" s="1"/>
  <c r="M119" i="44" s="1"/>
  <c r="M120" i="44" s="1"/>
  <c r="M121" i="44" s="1"/>
  <c r="M122" i="44" s="1"/>
  <c r="M123" i="44" s="1"/>
  <c r="M124" i="44" s="1"/>
  <c r="M125" i="44" s="1"/>
  <c r="M126" i="44" s="1"/>
  <c r="M127" i="44" s="1"/>
  <c r="M128" i="44" s="1"/>
  <c r="M129" i="44" s="1"/>
  <c r="M130" i="44" s="1"/>
  <c r="M131" i="44" s="1"/>
  <c r="M132" i="44" s="1"/>
  <c r="M133" i="44" s="1"/>
  <c r="M134" i="44" s="1"/>
  <c r="M135" i="44" s="1"/>
  <c r="M136" i="44" s="1"/>
  <c r="M137" i="44" s="1"/>
  <c r="I81" i="44"/>
  <c r="I82" i="44" s="1"/>
  <c r="I83" i="44" s="1"/>
  <c r="I84" i="44" s="1"/>
  <c r="I85" i="44" s="1"/>
  <c r="I86" i="44" s="1"/>
  <c r="I87" i="44" s="1"/>
  <c r="I88" i="44" s="1"/>
  <c r="I89" i="44" s="1"/>
  <c r="I90" i="44" s="1"/>
  <c r="I91" i="44" s="1"/>
  <c r="I92" i="44" s="1"/>
  <c r="I93" i="44" s="1"/>
  <c r="I94" i="44" s="1"/>
  <c r="I95" i="44" s="1"/>
  <c r="I96" i="44" s="1"/>
  <c r="I97" i="44" s="1"/>
  <c r="I98" i="44" s="1"/>
  <c r="I99" i="44" s="1"/>
  <c r="I100" i="44" s="1"/>
  <c r="I101" i="44" s="1"/>
  <c r="I102" i="44" s="1"/>
  <c r="I103" i="44" s="1"/>
  <c r="I104" i="44" s="1"/>
  <c r="I105" i="44" s="1"/>
  <c r="I106" i="44" s="1"/>
  <c r="I107" i="44" s="1"/>
  <c r="I108" i="44" s="1"/>
  <c r="I109" i="44" s="1"/>
  <c r="I110" i="44" s="1"/>
  <c r="I111" i="44" s="1"/>
  <c r="I112" i="44" s="1"/>
  <c r="I113" i="44" s="1"/>
  <c r="I114" i="44" s="1"/>
  <c r="I115" i="44" s="1"/>
  <c r="I116" i="44" s="1"/>
  <c r="I117" i="44" s="1"/>
  <c r="I118" i="44" s="1"/>
  <c r="I119" i="44" s="1"/>
  <c r="I120" i="44" s="1"/>
  <c r="I121" i="44" s="1"/>
  <c r="I122" i="44" s="1"/>
  <c r="I123" i="44" s="1"/>
  <c r="I124" i="44" s="1"/>
  <c r="I125" i="44" s="1"/>
  <c r="I126" i="44" s="1"/>
  <c r="I127" i="44" s="1"/>
  <c r="I128" i="44" s="1"/>
  <c r="I129" i="44" s="1"/>
  <c r="I130" i="44" s="1"/>
  <c r="I131" i="44" s="1"/>
  <c r="I132" i="44" s="1"/>
  <c r="I133" i="44" s="1"/>
  <c r="I134" i="44" s="1"/>
  <c r="I135" i="44" s="1"/>
  <c r="I136" i="44" s="1"/>
  <c r="I137" i="44" s="1"/>
  <c r="J81" i="44"/>
  <c r="J82" i="44" s="1"/>
  <c r="J83" i="44" s="1"/>
  <c r="J84" i="44" s="1"/>
  <c r="J85" i="44" s="1"/>
  <c r="J86" i="44" s="1"/>
  <c r="J87" i="44" s="1"/>
  <c r="J88" i="44" s="1"/>
  <c r="J89" i="44" s="1"/>
  <c r="J90" i="44" s="1"/>
  <c r="J91" i="44" s="1"/>
  <c r="J92" i="44" s="1"/>
  <c r="J93" i="44" s="1"/>
  <c r="J94" i="44" s="1"/>
  <c r="J95" i="44" s="1"/>
  <c r="J96" i="44" s="1"/>
  <c r="J97" i="44" s="1"/>
  <c r="J98" i="44" s="1"/>
  <c r="J99" i="44" s="1"/>
  <c r="J100" i="44" s="1"/>
  <c r="J101" i="44" s="1"/>
  <c r="J102" i="44" s="1"/>
  <c r="J103" i="44" s="1"/>
  <c r="J104" i="44" s="1"/>
  <c r="J105" i="44" s="1"/>
  <c r="J106" i="44" s="1"/>
  <c r="J107" i="44" s="1"/>
  <c r="J108" i="44" s="1"/>
  <c r="J109" i="44" s="1"/>
  <c r="J110" i="44" s="1"/>
  <c r="J111" i="44" s="1"/>
  <c r="J112" i="44" s="1"/>
  <c r="J113" i="44" s="1"/>
  <c r="J114" i="44" s="1"/>
  <c r="J115" i="44" s="1"/>
  <c r="J116" i="44" s="1"/>
  <c r="J117" i="44" s="1"/>
  <c r="J118" i="44" s="1"/>
  <c r="J119" i="44" s="1"/>
  <c r="J120" i="44" s="1"/>
  <c r="J121" i="44" s="1"/>
  <c r="J122" i="44" s="1"/>
  <c r="J123" i="44" s="1"/>
  <c r="J124" i="44" s="1"/>
  <c r="J125" i="44" s="1"/>
  <c r="J126" i="44" s="1"/>
  <c r="J127" i="44" s="1"/>
  <c r="J128" i="44" s="1"/>
  <c r="J129" i="44" s="1"/>
  <c r="J130" i="44" s="1"/>
  <c r="J131" i="44" s="1"/>
  <c r="J132" i="44" s="1"/>
  <c r="J133" i="44" s="1"/>
  <c r="J134" i="44" s="1"/>
  <c r="J135" i="44" s="1"/>
  <c r="J136" i="44" s="1"/>
  <c r="J137" i="44" s="1"/>
  <c r="K81" i="44"/>
  <c r="K82" i="44" s="1"/>
  <c r="K83" i="44" s="1"/>
  <c r="K84" i="44" s="1"/>
  <c r="K85" i="44" s="1"/>
  <c r="K86" i="44" s="1"/>
  <c r="K87" i="44" s="1"/>
  <c r="K88" i="44" s="1"/>
  <c r="K89" i="44" s="1"/>
  <c r="K90" i="44" s="1"/>
  <c r="K91" i="44" s="1"/>
  <c r="K92" i="44" s="1"/>
  <c r="K93" i="44" s="1"/>
  <c r="K94" i="44" s="1"/>
  <c r="K95" i="44" s="1"/>
  <c r="K96" i="44" s="1"/>
  <c r="K97" i="44" s="1"/>
  <c r="K98" i="44" s="1"/>
  <c r="K99" i="44" s="1"/>
  <c r="K100" i="44" s="1"/>
  <c r="K101" i="44" s="1"/>
  <c r="K102" i="44" s="1"/>
  <c r="K103" i="44" s="1"/>
  <c r="K104" i="44" s="1"/>
  <c r="K105" i="44" s="1"/>
  <c r="K106" i="44" s="1"/>
  <c r="K107" i="44" s="1"/>
  <c r="K108" i="44" s="1"/>
  <c r="K109" i="44" s="1"/>
  <c r="K110" i="44" s="1"/>
  <c r="K111" i="44" s="1"/>
  <c r="K112" i="44" s="1"/>
  <c r="K113" i="44" s="1"/>
  <c r="K114" i="44" s="1"/>
  <c r="K115" i="44" s="1"/>
  <c r="K116" i="44" s="1"/>
  <c r="K117" i="44" s="1"/>
  <c r="K118" i="44" s="1"/>
  <c r="K119" i="44" s="1"/>
  <c r="K120" i="44" s="1"/>
  <c r="K121" i="44" s="1"/>
  <c r="K122" i="44" s="1"/>
  <c r="K123" i="44" s="1"/>
  <c r="K124" i="44" s="1"/>
  <c r="K125" i="44" s="1"/>
  <c r="K126" i="44" s="1"/>
  <c r="K127" i="44" s="1"/>
  <c r="K128" i="44" s="1"/>
  <c r="K129" i="44" s="1"/>
  <c r="K130" i="44" s="1"/>
  <c r="K131" i="44" s="1"/>
  <c r="K132" i="44" s="1"/>
  <c r="K133" i="44" s="1"/>
  <c r="K134" i="44" s="1"/>
  <c r="K135" i="44" s="1"/>
  <c r="K136" i="44" s="1"/>
  <c r="K137" i="44" s="1"/>
  <c r="L81" i="44"/>
  <c r="M81" i="44"/>
  <c r="N81" i="44"/>
  <c r="O81" i="44"/>
  <c r="P81" i="44"/>
  <c r="P82" i="44" s="1"/>
  <c r="P83" i="44" s="1"/>
  <c r="P84" i="44" s="1"/>
  <c r="P85" i="44" s="1"/>
  <c r="P86" i="44" s="1"/>
  <c r="P87" i="44" s="1"/>
  <c r="P88" i="44" s="1"/>
  <c r="P89" i="44" s="1"/>
  <c r="P90" i="44" s="1"/>
  <c r="P91" i="44" s="1"/>
  <c r="P92" i="44" s="1"/>
  <c r="P93" i="44" s="1"/>
  <c r="P94" i="44" s="1"/>
  <c r="P95" i="44" s="1"/>
  <c r="P96" i="44" s="1"/>
  <c r="P97" i="44" s="1"/>
  <c r="P98" i="44" s="1"/>
  <c r="P99" i="44" s="1"/>
  <c r="P100" i="44" s="1"/>
  <c r="P101" i="44" s="1"/>
  <c r="P102" i="44" s="1"/>
  <c r="P103" i="44" s="1"/>
  <c r="P104" i="44" s="1"/>
  <c r="P105" i="44" s="1"/>
  <c r="P106" i="44" s="1"/>
  <c r="P107" i="44" s="1"/>
  <c r="P108" i="44" s="1"/>
  <c r="P109" i="44" s="1"/>
  <c r="P110" i="44" s="1"/>
  <c r="P111" i="44" s="1"/>
  <c r="P112" i="44" s="1"/>
  <c r="P113" i="44" s="1"/>
  <c r="P114" i="44" s="1"/>
  <c r="P115" i="44" s="1"/>
  <c r="P116" i="44" s="1"/>
  <c r="P117" i="44" s="1"/>
  <c r="P118" i="44" s="1"/>
  <c r="P119" i="44" s="1"/>
  <c r="P120" i="44" s="1"/>
  <c r="P121" i="44" s="1"/>
  <c r="P122" i="44" s="1"/>
  <c r="P123" i="44" s="1"/>
  <c r="P124" i="44" s="1"/>
  <c r="P125" i="44" s="1"/>
  <c r="P126" i="44" s="1"/>
  <c r="P127" i="44" s="1"/>
  <c r="P128" i="44" s="1"/>
  <c r="P129" i="44" s="1"/>
  <c r="P130" i="44" s="1"/>
  <c r="P131" i="44" s="1"/>
  <c r="P132" i="44" s="1"/>
  <c r="P133" i="44" s="1"/>
  <c r="P134" i="44" s="1"/>
  <c r="P135" i="44" s="1"/>
  <c r="P136" i="44" s="1"/>
  <c r="P137" i="44" s="1"/>
  <c r="Q81" i="44"/>
  <c r="Q82" i="44" s="1"/>
  <c r="Q83" i="44" s="1"/>
  <c r="Q84" i="44" s="1"/>
  <c r="Q85" i="44" s="1"/>
  <c r="Q86" i="44" s="1"/>
  <c r="Q87" i="44" s="1"/>
  <c r="Q88" i="44" s="1"/>
  <c r="Q89" i="44" s="1"/>
  <c r="Q90" i="44" s="1"/>
  <c r="Q91" i="44" s="1"/>
  <c r="Q92" i="44" s="1"/>
  <c r="Q93" i="44" s="1"/>
  <c r="Q94" i="44" s="1"/>
  <c r="Q95" i="44" s="1"/>
  <c r="Q96" i="44" s="1"/>
  <c r="Q97" i="44" s="1"/>
  <c r="Q98" i="44" s="1"/>
  <c r="Q99" i="44" s="1"/>
  <c r="Q100" i="44" s="1"/>
  <c r="Q101" i="44" s="1"/>
  <c r="Q102" i="44" s="1"/>
  <c r="Q103" i="44" s="1"/>
  <c r="Q104" i="44" s="1"/>
  <c r="Q105" i="44" s="1"/>
  <c r="Q106" i="44" s="1"/>
  <c r="Q107" i="44" s="1"/>
  <c r="Q108" i="44" s="1"/>
  <c r="Q109" i="44" s="1"/>
  <c r="Q110" i="44" s="1"/>
  <c r="Q111" i="44" s="1"/>
  <c r="Q112" i="44" s="1"/>
  <c r="Q113" i="44" s="1"/>
  <c r="Q114" i="44" s="1"/>
  <c r="Q115" i="44" s="1"/>
  <c r="Q116" i="44" s="1"/>
  <c r="Q117" i="44" s="1"/>
  <c r="Q118" i="44" s="1"/>
  <c r="Q119" i="44" s="1"/>
  <c r="Q120" i="44" s="1"/>
  <c r="Q121" i="44" s="1"/>
  <c r="Q122" i="44" s="1"/>
  <c r="Q123" i="44" s="1"/>
  <c r="Q124" i="44" s="1"/>
  <c r="Q125" i="44" s="1"/>
  <c r="Q126" i="44" s="1"/>
  <c r="Q127" i="44" s="1"/>
  <c r="Q128" i="44" s="1"/>
  <c r="Q129" i="44" s="1"/>
  <c r="Q130" i="44" s="1"/>
  <c r="Q131" i="44" s="1"/>
  <c r="Q132" i="44" s="1"/>
  <c r="Q133" i="44" s="1"/>
  <c r="Q134" i="44" s="1"/>
  <c r="Q135" i="44" s="1"/>
  <c r="Q136" i="44" s="1"/>
  <c r="Q137" i="44" s="1"/>
  <c r="H81" i="44"/>
  <c r="H82" i="44" s="1"/>
  <c r="H83" i="44" s="1"/>
  <c r="H84" i="44" s="1"/>
  <c r="H85" i="44" s="1"/>
  <c r="H86" i="44" s="1"/>
  <c r="H87" i="44" s="1"/>
  <c r="H88" i="44" s="1"/>
  <c r="H89" i="44" s="1"/>
  <c r="H90" i="44" s="1"/>
  <c r="H91" i="44" s="1"/>
  <c r="H92" i="44" s="1"/>
  <c r="H93" i="44" s="1"/>
  <c r="H94" i="44" s="1"/>
  <c r="H95" i="44" s="1"/>
  <c r="H96" i="44" s="1"/>
  <c r="H97" i="44" s="1"/>
  <c r="H98" i="44" s="1"/>
  <c r="H99" i="44" s="1"/>
  <c r="H100" i="44" s="1"/>
  <c r="H101" i="44" s="1"/>
  <c r="H102" i="44" s="1"/>
  <c r="H103" i="44" s="1"/>
  <c r="H104" i="44" s="1"/>
  <c r="H105" i="44" s="1"/>
  <c r="H106" i="44" s="1"/>
  <c r="H107" i="44" s="1"/>
  <c r="H108" i="44" s="1"/>
  <c r="H109" i="44" s="1"/>
  <c r="H110" i="44" s="1"/>
  <c r="H111" i="44" s="1"/>
  <c r="H112" i="44" s="1"/>
  <c r="H113" i="44" s="1"/>
  <c r="H114" i="44" s="1"/>
  <c r="H115" i="44" s="1"/>
  <c r="H116" i="44" s="1"/>
  <c r="H117" i="44" s="1"/>
  <c r="H118" i="44" s="1"/>
  <c r="H119" i="44" s="1"/>
  <c r="H120" i="44" s="1"/>
  <c r="H121" i="44" s="1"/>
  <c r="H122" i="44" s="1"/>
  <c r="H123" i="44" s="1"/>
  <c r="H124" i="44" s="1"/>
  <c r="H125" i="44" s="1"/>
  <c r="H126" i="44" s="1"/>
  <c r="H127" i="44" s="1"/>
  <c r="H128" i="44" s="1"/>
  <c r="H129" i="44" s="1"/>
  <c r="H130" i="44" s="1"/>
  <c r="H131" i="44" s="1"/>
  <c r="H132" i="44" s="1"/>
  <c r="H133" i="44" s="1"/>
  <c r="H134" i="44" s="1"/>
  <c r="H135" i="44" s="1"/>
  <c r="H136" i="44" s="1"/>
  <c r="H137" i="44" s="1"/>
  <c r="D13" i="37"/>
  <c r="D14" i="37" s="1"/>
  <c r="D81" i="44"/>
  <c r="D82" i="44" s="1"/>
  <c r="D83" i="44" s="1"/>
  <c r="D84" i="44" s="1"/>
  <c r="D85" i="44" s="1"/>
  <c r="D86" i="44" s="1"/>
  <c r="D87" i="44" s="1"/>
  <c r="D88" i="44" s="1"/>
  <c r="D89" i="44" s="1"/>
  <c r="D90" i="44" s="1"/>
  <c r="D91" i="44" s="1"/>
  <c r="D92" i="44" s="1"/>
  <c r="D93" i="44" s="1"/>
  <c r="D94" i="44" s="1"/>
  <c r="D95" i="44" s="1"/>
  <c r="D96" i="44" s="1"/>
  <c r="D97" i="44" s="1"/>
  <c r="D98" i="44" s="1"/>
  <c r="D99" i="44" s="1"/>
  <c r="D100" i="44" s="1"/>
  <c r="D101" i="44" s="1"/>
  <c r="D102" i="44" s="1"/>
  <c r="D103" i="44" s="1"/>
  <c r="D104" i="44" s="1"/>
  <c r="D105" i="44" s="1"/>
  <c r="D106" i="44" s="1"/>
  <c r="D107" i="44" s="1"/>
  <c r="D108" i="44" s="1"/>
  <c r="D109" i="44" s="1"/>
  <c r="D110" i="44" s="1"/>
  <c r="D111" i="44" s="1"/>
  <c r="D112" i="44" s="1"/>
  <c r="D113" i="44" s="1"/>
  <c r="D114" i="44" s="1"/>
  <c r="D115" i="44" s="1"/>
  <c r="D116" i="44" s="1"/>
  <c r="D117" i="44" s="1"/>
  <c r="D118" i="44" s="1"/>
  <c r="D119" i="44" s="1"/>
  <c r="D120" i="44" s="1"/>
  <c r="D121" i="44" s="1"/>
  <c r="D122" i="44" s="1"/>
  <c r="D123" i="44" s="1"/>
  <c r="D124" i="44" s="1"/>
  <c r="D125" i="44" s="1"/>
  <c r="D126" i="44" s="1"/>
  <c r="D127" i="44" s="1"/>
  <c r="D128" i="44" s="1"/>
  <c r="D129" i="44" s="1"/>
  <c r="D130" i="44" s="1"/>
  <c r="D131" i="44" s="1"/>
  <c r="D132" i="44" s="1"/>
  <c r="D133" i="44" s="1"/>
  <c r="D134" i="44" s="1"/>
  <c r="D135" i="44" s="1"/>
  <c r="D136" i="44" s="1"/>
  <c r="D137" i="44" s="1"/>
  <c r="D68" i="44"/>
  <c r="D67" i="44"/>
  <c r="D66" i="44"/>
  <c r="D65" i="44"/>
  <c r="D64" i="44"/>
  <c r="D63" i="44"/>
  <c r="D62" i="44"/>
  <c r="D61" i="44"/>
  <c r="D60" i="44"/>
  <c r="D59" i="44"/>
  <c r="D58" i="44"/>
  <c r="D57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56" i="44"/>
  <c r="E82" i="44"/>
  <c r="E83" i="44" s="1"/>
  <c r="E84" i="44" s="1"/>
  <c r="E85" i="44" s="1"/>
  <c r="E86" i="44" s="1"/>
  <c r="E87" i="44" s="1"/>
  <c r="E88" i="44" s="1"/>
  <c r="E89" i="44" s="1"/>
  <c r="E90" i="44" s="1"/>
  <c r="E91" i="44" s="1"/>
  <c r="E92" i="44" s="1"/>
  <c r="E93" i="44" s="1"/>
  <c r="E94" i="44" s="1"/>
  <c r="E95" i="44" s="1"/>
  <c r="E96" i="44" s="1"/>
  <c r="E97" i="44" s="1"/>
  <c r="E98" i="44" s="1"/>
  <c r="E99" i="44" s="1"/>
  <c r="E100" i="44" s="1"/>
  <c r="E101" i="44" s="1"/>
  <c r="E102" i="44" s="1"/>
  <c r="E103" i="44" s="1"/>
  <c r="E104" i="44" s="1"/>
  <c r="E105" i="44" s="1"/>
  <c r="E106" i="44" s="1"/>
  <c r="E107" i="44" s="1"/>
  <c r="E108" i="44" s="1"/>
  <c r="E109" i="44" s="1"/>
  <c r="E110" i="44" s="1"/>
  <c r="E111" i="44" s="1"/>
  <c r="E112" i="44" s="1"/>
  <c r="E113" i="44" s="1"/>
  <c r="E114" i="44" s="1"/>
  <c r="E115" i="44" s="1"/>
  <c r="E116" i="44" s="1"/>
  <c r="E117" i="44" s="1"/>
  <c r="E118" i="44" s="1"/>
  <c r="E119" i="44" s="1"/>
  <c r="E120" i="44" s="1"/>
  <c r="E121" i="44" s="1"/>
  <c r="E122" i="44" s="1"/>
  <c r="E123" i="44" s="1"/>
  <c r="E124" i="44" s="1"/>
  <c r="E125" i="44" s="1"/>
  <c r="E126" i="44" s="1"/>
  <c r="E127" i="44" s="1"/>
  <c r="E128" i="44" s="1"/>
  <c r="E129" i="44" s="1"/>
  <c r="E130" i="44" s="1"/>
  <c r="E131" i="44" s="1"/>
  <c r="E132" i="44" s="1"/>
  <c r="E133" i="44" s="1"/>
  <c r="E134" i="44" s="1"/>
  <c r="E135" i="44" s="1"/>
  <c r="E136" i="44" s="1"/>
  <c r="E137" i="44" s="1"/>
  <c r="C81" i="44"/>
  <c r="C82" i="44" s="1"/>
  <c r="C83" i="44" s="1"/>
  <c r="C84" i="44" s="1"/>
  <c r="C85" i="44" s="1"/>
  <c r="C86" i="44" s="1"/>
  <c r="C87" i="44" s="1"/>
  <c r="C88" i="44" s="1"/>
  <c r="C89" i="44" s="1"/>
  <c r="C90" i="44" s="1"/>
  <c r="C91" i="44" s="1"/>
  <c r="C92" i="44" s="1"/>
  <c r="C93" i="44" s="1"/>
  <c r="C94" i="44" s="1"/>
  <c r="C95" i="44" s="1"/>
  <c r="C96" i="44" s="1"/>
  <c r="C97" i="44" s="1"/>
  <c r="C98" i="44" s="1"/>
  <c r="C99" i="44" s="1"/>
  <c r="C100" i="44" s="1"/>
  <c r="C101" i="44" s="1"/>
  <c r="C102" i="44" s="1"/>
  <c r="C103" i="44" s="1"/>
  <c r="C104" i="44" s="1"/>
  <c r="C105" i="44" s="1"/>
  <c r="C106" i="44" s="1"/>
  <c r="C107" i="44" s="1"/>
  <c r="C108" i="44" s="1"/>
  <c r="C109" i="44" s="1"/>
  <c r="C110" i="44" s="1"/>
  <c r="C111" i="44" s="1"/>
  <c r="C112" i="44" s="1"/>
  <c r="C113" i="44" s="1"/>
  <c r="C114" i="44" s="1"/>
  <c r="C115" i="44" s="1"/>
  <c r="C116" i="44" s="1"/>
  <c r="C117" i="44" s="1"/>
  <c r="C118" i="44" s="1"/>
  <c r="C119" i="44" s="1"/>
  <c r="C120" i="44" s="1"/>
  <c r="C121" i="44" s="1"/>
  <c r="C122" i="44" s="1"/>
  <c r="C123" i="44" s="1"/>
  <c r="C124" i="44" s="1"/>
  <c r="C125" i="44" s="1"/>
  <c r="C126" i="44" s="1"/>
  <c r="C127" i="44" s="1"/>
  <c r="C128" i="44" s="1"/>
  <c r="C129" i="44" s="1"/>
  <c r="C130" i="44" s="1"/>
  <c r="C131" i="44" s="1"/>
  <c r="C132" i="44" s="1"/>
  <c r="C133" i="44" s="1"/>
  <c r="C134" i="44" s="1"/>
  <c r="C135" i="44" s="1"/>
  <c r="C136" i="44" s="1"/>
  <c r="C137" i="44" s="1"/>
  <c r="E81" i="44"/>
  <c r="E44" i="44"/>
  <c r="E43" i="44"/>
  <c r="E42" i="44"/>
  <c r="E41" i="44"/>
  <c r="E40" i="44"/>
  <c r="E39" i="44"/>
  <c r="E38" i="44"/>
  <c r="E37" i="44"/>
  <c r="E36" i="44"/>
  <c r="B21" i="37"/>
  <c r="D11" i="37"/>
  <c r="AG8" i="37" l="1"/>
  <c r="T7" i="37"/>
  <c r="W30" i="37"/>
  <c r="W35" i="37"/>
  <c r="W28" i="37"/>
  <c r="W29" i="37"/>
  <c r="W32" i="37"/>
  <c r="W36" i="37"/>
  <c r="W27" i="37"/>
  <c r="W31" i="37"/>
  <c r="W34" i="37"/>
  <c r="W33" i="37"/>
  <c r="M6" i="43"/>
  <c r="M8" i="43"/>
  <c r="M5" i="43"/>
  <c r="K5" i="37"/>
  <c r="K6" i="37" s="1"/>
  <c r="O31" i="37"/>
  <c r="O32" i="37" s="1"/>
  <c r="O16" i="37"/>
  <c r="C18" i="42"/>
  <c r="B18" i="42"/>
  <c r="H18" i="41"/>
  <c r="A18" i="42"/>
  <c r="G21" i="37"/>
  <c r="G20" i="37"/>
  <c r="K8" i="37"/>
  <c r="A5" i="42"/>
  <c r="A6" i="42"/>
  <c r="B6" i="42"/>
  <c r="C6" i="42"/>
  <c r="A7" i="42"/>
  <c r="B7" i="42"/>
  <c r="C7" i="42"/>
  <c r="A8" i="42"/>
  <c r="A9" i="42"/>
  <c r="A10" i="42"/>
  <c r="A11" i="42"/>
  <c r="B11" i="42"/>
  <c r="C11" i="42"/>
  <c r="A12" i="42"/>
  <c r="A13" i="42"/>
  <c r="B13" i="42"/>
  <c r="C13" i="42"/>
  <c r="A14" i="42"/>
  <c r="B14" i="42"/>
  <c r="C14" i="42"/>
  <c r="A15" i="42"/>
  <c r="A16" i="42"/>
  <c r="B16" i="42"/>
  <c r="C16" i="42"/>
  <c r="A17" i="42"/>
  <c r="B17" i="42"/>
  <c r="C17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H5" i="41"/>
  <c r="H6" i="41"/>
  <c r="P6" i="41"/>
  <c r="H7" i="41"/>
  <c r="P7" i="41"/>
  <c r="H8" i="41"/>
  <c r="P8" i="41"/>
  <c r="H9" i="41"/>
  <c r="P9" i="41"/>
  <c r="P10" i="41"/>
  <c r="H11" i="41"/>
  <c r="P11" i="41"/>
  <c r="H12" i="41"/>
  <c r="H13" i="41"/>
  <c r="P13" i="41"/>
  <c r="H14" i="41"/>
  <c r="P14" i="41"/>
  <c r="H15" i="41"/>
  <c r="H16" i="41"/>
  <c r="P16" i="41"/>
  <c r="H17" i="41"/>
  <c r="P17" i="41"/>
  <c r="P18" i="41"/>
  <c r="O19" i="41"/>
  <c r="P19" i="41"/>
  <c r="O20" i="41"/>
  <c r="P20" i="41"/>
  <c r="O21" i="41"/>
  <c r="P21" i="41"/>
  <c r="O22" i="41"/>
  <c r="P22" i="41"/>
  <c r="O23" i="41"/>
  <c r="P23" i="41"/>
  <c r="O24" i="41"/>
  <c r="P24" i="41"/>
  <c r="O25" i="41"/>
  <c r="P25" i="41"/>
  <c r="O26" i="41"/>
  <c r="P26" i="41"/>
  <c r="O27" i="41"/>
  <c r="P27" i="41"/>
  <c r="O28" i="41"/>
  <c r="P28" i="41"/>
  <c r="O29" i="41"/>
  <c r="P29" i="41"/>
  <c r="O30" i="41"/>
  <c r="P30" i="41"/>
  <c r="O31" i="41"/>
  <c r="P31" i="41"/>
  <c r="O32" i="41"/>
  <c r="P32" i="41"/>
  <c r="O33" i="41"/>
  <c r="P33" i="41"/>
  <c r="O34" i="41"/>
  <c r="P34" i="41"/>
  <c r="O35" i="41"/>
  <c r="P35" i="41"/>
  <c r="O36" i="41"/>
  <c r="P36" i="41"/>
  <c r="O37" i="41"/>
  <c r="P37" i="41"/>
  <c r="O38" i="41"/>
  <c r="P38" i="41"/>
  <c r="O39" i="41"/>
  <c r="P39" i="41"/>
  <c r="O40" i="41"/>
  <c r="P40" i="41"/>
  <c r="O41" i="41"/>
  <c r="P41" i="41"/>
  <c r="O42" i="41"/>
  <c r="P42" i="41"/>
  <c r="O43" i="41"/>
  <c r="P43" i="41"/>
  <c r="O44" i="41"/>
  <c r="P44" i="41"/>
  <c r="O45" i="41"/>
  <c r="P45" i="41"/>
  <c r="O46" i="41"/>
  <c r="P46" i="41"/>
  <c r="O47" i="41"/>
  <c r="P47" i="41"/>
  <c r="O48" i="41"/>
  <c r="P48" i="41"/>
  <c r="O49" i="41"/>
  <c r="P49" i="41"/>
  <c r="O50" i="41"/>
  <c r="P50" i="41"/>
  <c r="O51" i="41"/>
  <c r="P51" i="41"/>
  <c r="O52" i="41"/>
  <c r="P52" i="41"/>
  <c r="O53" i="41"/>
  <c r="P53" i="41"/>
  <c r="O54" i="41"/>
  <c r="P54" i="41"/>
  <c r="O55" i="41"/>
  <c r="P55" i="41"/>
  <c r="O56" i="41"/>
  <c r="P56" i="41"/>
  <c r="O57" i="41"/>
  <c r="P57" i="41"/>
  <c r="O58" i="41"/>
  <c r="P58" i="41"/>
  <c r="O59" i="41"/>
  <c r="P59" i="41"/>
  <c r="O60" i="41"/>
  <c r="P60" i="41"/>
  <c r="O61" i="41"/>
  <c r="P61" i="41"/>
  <c r="O62" i="41"/>
  <c r="P62" i="41"/>
  <c r="O63" i="41"/>
  <c r="P63" i="41"/>
  <c r="O64" i="41"/>
  <c r="P64" i="41"/>
  <c r="O65" i="41"/>
  <c r="P65" i="41"/>
  <c r="O66" i="41"/>
  <c r="P66" i="41"/>
  <c r="O67" i="41"/>
  <c r="P67" i="41"/>
  <c r="O68" i="41"/>
  <c r="P68" i="41"/>
  <c r="O69" i="41"/>
  <c r="P69" i="41"/>
  <c r="O70" i="41"/>
  <c r="P70" i="41"/>
  <c r="O71" i="41"/>
  <c r="P71" i="41"/>
  <c r="O72" i="41"/>
  <c r="P72" i="41"/>
  <c r="O73" i="41"/>
  <c r="P73" i="41"/>
  <c r="O74" i="41"/>
  <c r="P74" i="41"/>
  <c r="O75" i="41"/>
  <c r="P75" i="41"/>
  <c r="O76" i="41"/>
  <c r="P76" i="41"/>
  <c r="O77" i="41"/>
  <c r="P77" i="41"/>
  <c r="O78" i="41"/>
  <c r="P78" i="41"/>
  <c r="O79" i="41"/>
  <c r="P79" i="41"/>
  <c r="O80" i="41"/>
  <c r="P80" i="41"/>
  <c r="O81" i="41"/>
  <c r="P81" i="41"/>
  <c r="O82" i="41"/>
  <c r="P82" i="41"/>
  <c r="O83" i="41"/>
  <c r="P83" i="41"/>
  <c r="O84" i="41"/>
  <c r="P84" i="41"/>
  <c r="O85" i="41"/>
  <c r="P85" i="41"/>
  <c r="O86" i="41"/>
  <c r="P86" i="41"/>
  <c r="O87" i="41"/>
  <c r="P87" i="41"/>
  <c r="O88" i="41"/>
  <c r="P88" i="41"/>
  <c r="O89" i="41"/>
  <c r="P89" i="41"/>
  <c r="O90" i="41"/>
  <c r="P90" i="41"/>
  <c r="O91" i="41"/>
  <c r="P91" i="41"/>
  <c r="O92" i="41"/>
  <c r="P92" i="41"/>
  <c r="O93" i="41"/>
  <c r="P93" i="41"/>
  <c r="O94" i="41"/>
  <c r="P94" i="41"/>
  <c r="O95" i="41"/>
  <c r="P95" i="41"/>
  <c r="O96" i="41"/>
  <c r="P96" i="41"/>
  <c r="O97" i="41"/>
  <c r="P97" i="41"/>
  <c r="O98" i="41"/>
  <c r="P98" i="41"/>
  <c r="O99" i="41"/>
  <c r="P99" i="41"/>
  <c r="O100" i="41"/>
  <c r="P100" i="41"/>
  <c r="O13" i="37"/>
  <c r="O14" i="37" s="1"/>
  <c r="O2" i="6"/>
  <c r="O3" i="6"/>
  <c r="D4" i="6"/>
  <c r="D11" i="6" s="1"/>
  <c r="I6" i="6"/>
  <c r="I8" i="6"/>
  <c r="I9" i="6" s="1"/>
  <c r="B10" i="6"/>
  <c r="D17" i="6"/>
  <c r="B17" i="6" s="1"/>
  <c r="E17" i="6" s="1"/>
  <c r="D18" i="6"/>
  <c r="B18" i="6" s="1"/>
  <c r="E18" i="6" s="1"/>
  <c r="F18" i="6" s="1"/>
  <c r="F17" i="6" s="1"/>
  <c r="H18" i="6"/>
  <c r="T18" i="6"/>
  <c r="U18" i="6" s="1"/>
  <c r="D19" i="6"/>
  <c r="B19" i="6" s="1"/>
  <c r="E19" i="6" s="1"/>
  <c r="F19" i="6" s="1"/>
  <c r="H19" i="6"/>
  <c r="T19" i="6"/>
  <c r="U19" i="6" s="1"/>
  <c r="D20" i="6"/>
  <c r="B20" i="6" s="1"/>
  <c r="E20" i="6" s="1"/>
  <c r="F20" i="6" s="1"/>
  <c r="H20" i="6"/>
  <c r="T20" i="6"/>
  <c r="U20" i="6" s="1"/>
  <c r="D21" i="6"/>
  <c r="B21" i="6" s="1"/>
  <c r="E21" i="6" s="1"/>
  <c r="F21" i="6" s="1"/>
  <c r="H21" i="6"/>
  <c r="I21" i="6"/>
  <c r="T21" i="6"/>
  <c r="U21" i="6" s="1"/>
  <c r="D22" i="6"/>
  <c r="B22" i="6" s="1"/>
  <c r="E22" i="6" s="1"/>
  <c r="F22" i="6" s="1"/>
  <c r="H22" i="6"/>
  <c r="T22" i="6"/>
  <c r="U22" i="6" s="1"/>
  <c r="D23" i="6"/>
  <c r="B23" i="6" s="1"/>
  <c r="E23" i="6" s="1"/>
  <c r="F23" i="6" s="1"/>
  <c r="H23" i="6"/>
  <c r="D24" i="6"/>
  <c r="B24" i="6" s="1"/>
  <c r="E24" i="6" s="1"/>
  <c r="F24" i="6" s="1"/>
  <c r="H24" i="6"/>
  <c r="B25" i="6"/>
  <c r="E25" i="6" s="1"/>
  <c r="F25" i="6" s="1"/>
  <c r="D53" i="6"/>
  <c r="D54" i="6" s="1"/>
  <c r="D58" i="6"/>
  <c r="D59" i="6"/>
  <c r="D60" i="6"/>
  <c r="D61" i="6"/>
  <c r="D62" i="6"/>
  <c r="J84" i="6"/>
  <c r="K84" i="6"/>
  <c r="I85" i="6"/>
  <c r="E86" i="6"/>
  <c r="E90" i="6"/>
  <c r="AG9" i="37" l="1"/>
  <c r="T8" i="37"/>
  <c r="U28" i="37"/>
  <c r="V28" i="37" s="1"/>
  <c r="U30" i="37"/>
  <c r="V30" i="37" s="1"/>
  <c r="U29" i="37"/>
  <c r="V29" i="37" s="1"/>
  <c r="U36" i="37"/>
  <c r="V36" i="37" s="1"/>
  <c r="U35" i="37"/>
  <c r="V35" i="37" s="1"/>
  <c r="U33" i="37"/>
  <c r="V33" i="37" s="1"/>
  <c r="U27" i="37"/>
  <c r="V27" i="37" s="1"/>
  <c r="U32" i="37"/>
  <c r="V32" i="37" s="1"/>
  <c r="U31" i="37"/>
  <c r="V31" i="37" s="1"/>
  <c r="U34" i="37"/>
  <c r="V34" i="37" s="1"/>
  <c r="W24" i="37"/>
  <c r="W21" i="37"/>
  <c r="W19" i="37"/>
  <c r="W17" i="37"/>
  <c r="W15" i="37"/>
  <c r="W12" i="37"/>
  <c r="W9" i="37"/>
  <c r="W26" i="37"/>
  <c r="W22" i="37"/>
  <c r="W20" i="37"/>
  <c r="W18" i="37"/>
  <c r="W16" i="37"/>
  <c r="W13" i="37"/>
  <c r="W11" i="37"/>
  <c r="W10" i="37"/>
  <c r="W7" i="37"/>
  <c r="W25" i="37"/>
  <c r="W14" i="37"/>
  <c r="W8" i="37"/>
  <c r="W23" i="37"/>
  <c r="K11" i="37"/>
  <c r="D26" i="37"/>
  <c r="O4" i="6"/>
  <c r="P4" i="6" s="1"/>
  <c r="O10" i="41"/>
  <c r="O15" i="41"/>
  <c r="P15" i="41" s="1"/>
  <c r="O7" i="41"/>
  <c r="O17" i="41"/>
  <c r="O18" i="41"/>
  <c r="O16" i="41"/>
  <c r="O17" i="37"/>
  <c r="O20" i="37" s="1"/>
  <c r="O9" i="41"/>
  <c r="O13" i="41"/>
  <c r="D55" i="6"/>
  <c r="D56" i="6"/>
  <c r="V19" i="6"/>
  <c r="R25" i="6"/>
  <c r="R26" i="6"/>
  <c r="V20" i="6"/>
  <c r="V21" i="6"/>
  <c r="V22" i="6"/>
  <c r="O6" i="41"/>
  <c r="O8" i="41"/>
  <c r="I86" i="6"/>
  <c r="I87" i="6" s="1"/>
  <c r="O5" i="41"/>
  <c r="P5" i="41" s="1"/>
  <c r="O14" i="41"/>
  <c r="O15" i="37"/>
  <c r="O18" i="37" s="1"/>
  <c r="O21" i="37" s="1"/>
  <c r="O12" i="41"/>
  <c r="P12" i="41" s="1"/>
  <c r="O11" i="41"/>
  <c r="AG10" i="37" l="1"/>
  <c r="T9" i="37"/>
  <c r="AB31" i="37"/>
  <c r="AC31" i="37" s="1"/>
  <c r="X31" i="37"/>
  <c r="AB36" i="37"/>
  <c r="AC36" i="37" s="1"/>
  <c r="X36" i="37"/>
  <c r="X32" i="37"/>
  <c r="AB32" i="37"/>
  <c r="AC32" i="37" s="1"/>
  <c r="AB29" i="37"/>
  <c r="AC29" i="37" s="1"/>
  <c r="X29" i="37"/>
  <c r="X34" i="37"/>
  <c r="AB34" i="37"/>
  <c r="AC34" i="37" s="1"/>
  <c r="AB33" i="37"/>
  <c r="AC33" i="37" s="1"/>
  <c r="X33" i="37"/>
  <c r="X30" i="37"/>
  <c r="AB30" i="37"/>
  <c r="AC30" i="37" s="1"/>
  <c r="X27" i="37"/>
  <c r="AB27" i="37"/>
  <c r="AC27" i="37" s="1"/>
  <c r="X35" i="37"/>
  <c r="AB35" i="37"/>
  <c r="AC35" i="37" s="1"/>
  <c r="AB28" i="37"/>
  <c r="AC28" i="37" s="1"/>
  <c r="X28" i="37"/>
  <c r="Z15" i="37"/>
  <c r="Z36" i="37"/>
  <c r="Z27" i="37"/>
  <c r="Z28" i="37"/>
  <c r="Z31" i="37"/>
  <c r="Z35" i="37"/>
  <c r="Z32" i="37"/>
  <c r="Z30" i="37"/>
  <c r="Z29" i="37"/>
  <c r="Z34" i="37"/>
  <c r="Z33" i="37"/>
  <c r="Z19" i="37"/>
  <c r="Z23" i="37"/>
  <c r="Z24" i="37"/>
  <c r="Z26" i="37"/>
  <c r="Z25" i="37"/>
  <c r="Z20" i="37"/>
  <c r="K20" i="37"/>
  <c r="Y27" i="37" s="1"/>
  <c r="O29" i="37"/>
  <c r="K21" i="37"/>
  <c r="Y15" i="37" s="1"/>
  <c r="Z18" i="37"/>
  <c r="Z7" i="37"/>
  <c r="Z13" i="37"/>
  <c r="Z21" i="37"/>
  <c r="Z8" i="37"/>
  <c r="Z9" i="37"/>
  <c r="Z17" i="37"/>
  <c r="Z22" i="37"/>
  <c r="O22" i="37"/>
  <c r="Z11" i="37"/>
  <c r="Z12" i="37"/>
  <c r="Z14" i="37"/>
  <c r="Z16" i="37"/>
  <c r="Z10" i="37"/>
  <c r="AA9" i="37"/>
  <c r="AA7" i="37"/>
  <c r="AA8" i="37"/>
  <c r="AA21" i="37"/>
  <c r="AA10" i="37"/>
  <c r="AA16" i="37"/>
  <c r="AA11" i="37"/>
  <c r="AA12" i="37"/>
  <c r="AA13" i="37"/>
  <c r="AA15" i="37"/>
  <c r="O24" i="37"/>
  <c r="AA17" i="37"/>
  <c r="AA18" i="37"/>
  <c r="AA24" i="37"/>
  <c r="AA20" i="37"/>
  <c r="AA22" i="37"/>
  <c r="AA23" i="37"/>
  <c r="AA25" i="37"/>
  <c r="AA26" i="37"/>
  <c r="AA19" i="37"/>
  <c r="Y11" i="37"/>
  <c r="Y9" i="37"/>
  <c r="Y18" i="37"/>
  <c r="Y13" i="37"/>
  <c r="Y21" i="37"/>
  <c r="Y25" i="37"/>
  <c r="Y7" i="37" l="1"/>
  <c r="Y20" i="37"/>
  <c r="Y12" i="37"/>
  <c r="Y22" i="37"/>
  <c r="AA14" i="37"/>
  <c r="AA34" i="37"/>
  <c r="AA30" i="37"/>
  <c r="AA33" i="37"/>
  <c r="AA29" i="37"/>
  <c r="AA32" i="37"/>
  <c r="AD32" i="37" s="1"/>
  <c r="AE32" i="37" s="1"/>
  <c r="AA35" i="37"/>
  <c r="AD35" i="37" s="1"/>
  <c r="AE35" i="37" s="1"/>
  <c r="AA28" i="37"/>
  <c r="AD28" i="37" s="1"/>
  <c r="AE28" i="37" s="1"/>
  <c r="AA36" i="37"/>
  <c r="AA31" i="37"/>
  <c r="AA27" i="37"/>
  <c r="AG11" i="37"/>
  <c r="T10" i="37"/>
  <c r="Y19" i="37"/>
  <c r="AD30" i="37"/>
  <c r="AE30" i="37" s="1"/>
  <c r="AD27" i="37"/>
  <c r="AE27" i="37" s="1"/>
  <c r="AD36" i="37"/>
  <c r="AE36" i="37" s="1"/>
  <c r="AD33" i="37"/>
  <c r="AE33" i="37" s="1"/>
  <c r="AD34" i="37"/>
  <c r="AE34" i="37" s="1"/>
  <c r="AD29" i="37"/>
  <c r="AE29" i="37" s="1"/>
  <c r="AD31" i="37"/>
  <c r="AE31" i="37" s="1"/>
  <c r="Y24" i="37"/>
  <c r="Y10" i="37"/>
  <c r="Y26" i="37"/>
  <c r="Y23" i="37"/>
  <c r="Y8" i="37"/>
  <c r="Y14" i="37"/>
  <c r="Y16" i="37"/>
  <c r="Y17" i="37"/>
  <c r="K16" i="37"/>
  <c r="K17" i="37"/>
  <c r="AG12" i="37" l="1"/>
  <c r="T11" i="37"/>
  <c r="K13" i="37"/>
  <c r="K14" i="37" s="1"/>
  <c r="U8" i="37"/>
  <c r="V8" i="37" s="1"/>
  <c r="U23" i="37"/>
  <c r="V23" i="37" s="1"/>
  <c r="U11" i="37"/>
  <c r="V11" i="37" s="1"/>
  <c r="U17" i="37"/>
  <c r="V17" i="37" s="1"/>
  <c r="U16" i="37"/>
  <c r="V16" i="37" s="1"/>
  <c r="U25" i="37"/>
  <c r="V25" i="37" s="1"/>
  <c r="U13" i="37"/>
  <c r="V13" i="37" s="1"/>
  <c r="U26" i="37"/>
  <c r="V26" i="37" s="1"/>
  <c r="U21" i="37"/>
  <c r="V21" i="37" s="1"/>
  <c r="U22" i="37"/>
  <c r="V22" i="37" s="1"/>
  <c r="U7" i="37"/>
  <c r="V7" i="37" s="1"/>
  <c r="U20" i="37"/>
  <c r="V20" i="37" s="1"/>
  <c r="U24" i="37"/>
  <c r="V24" i="37" s="1"/>
  <c r="U10" i="37"/>
  <c r="V10" i="37" s="1"/>
  <c r="U9" i="37"/>
  <c r="V9" i="37" s="1"/>
  <c r="U18" i="37"/>
  <c r="V18" i="37" s="1"/>
  <c r="U12" i="37"/>
  <c r="V12" i="37" s="1"/>
  <c r="AG13" i="37" l="1"/>
  <c r="T12" i="37"/>
  <c r="X12" i="37"/>
  <c r="X18" i="37"/>
  <c r="AB10" i="37"/>
  <c r="X17" i="37"/>
  <c r="AB20" i="37"/>
  <c r="AB22" i="37"/>
  <c r="AB25" i="37"/>
  <c r="AB23" i="37"/>
  <c r="AB21" i="37"/>
  <c r="AB16" i="37"/>
  <c r="AB8" i="37"/>
  <c r="X13" i="37"/>
  <c r="AB11" i="37"/>
  <c r="X7" i="37"/>
  <c r="AB24" i="37"/>
  <c r="X24" i="37"/>
  <c r="AB9" i="37"/>
  <c r="X9" i="37"/>
  <c r="X26" i="37"/>
  <c r="AB18" i="37"/>
  <c r="AB7" i="37"/>
  <c r="AC7" i="37" s="1"/>
  <c r="AB17" i="37"/>
  <c r="U19" i="37"/>
  <c r="V19" i="37" s="1"/>
  <c r="U14" i="37"/>
  <c r="V14" i="37" s="1"/>
  <c r="U15" i="37"/>
  <c r="V15" i="37" s="1"/>
  <c r="AG14" i="37" l="1"/>
  <c r="T13" i="37"/>
  <c r="AC23" i="37"/>
  <c r="AD23" i="37" s="1"/>
  <c r="AC17" i="37"/>
  <c r="AD17" i="37" s="1"/>
  <c r="AE17" i="37" s="1"/>
  <c r="AC25" i="37"/>
  <c r="AD25" i="37" s="1"/>
  <c r="AC18" i="37"/>
  <c r="AD18" i="37" s="1"/>
  <c r="AE18" i="37" s="1"/>
  <c r="AC11" i="37"/>
  <c r="AD11" i="37" s="1"/>
  <c r="AC16" i="37"/>
  <c r="AD16" i="37" s="1"/>
  <c r="AC10" i="37"/>
  <c r="AD10" i="37" s="1"/>
  <c r="AC9" i="37"/>
  <c r="AD9" i="37" s="1"/>
  <c r="AE9" i="37" s="1"/>
  <c r="AC21" i="37"/>
  <c r="AD21" i="37" s="1"/>
  <c r="AC20" i="37"/>
  <c r="AD20" i="37" s="1"/>
  <c r="AC24" i="37"/>
  <c r="AD24" i="37" s="1"/>
  <c r="AE24" i="37" s="1"/>
  <c r="AC8" i="37"/>
  <c r="AD8" i="37" s="1"/>
  <c r="AC22" i="37"/>
  <c r="AD22" i="37" s="1"/>
  <c r="AD7" i="37"/>
  <c r="AB12" i="37"/>
  <c r="X16" i="37"/>
  <c r="X21" i="37"/>
  <c r="X25" i="37"/>
  <c r="X23" i="37"/>
  <c r="X22" i="37"/>
  <c r="X11" i="37"/>
  <c r="X8" i="37"/>
  <c r="AB14" i="37"/>
  <c r="AB19" i="37"/>
  <c r="AB13" i="37"/>
  <c r="X20" i="37"/>
  <c r="AB15" i="37"/>
  <c r="X10" i="37"/>
  <c r="AB26" i="37"/>
  <c r="AG15" i="37" l="1"/>
  <c r="T14" i="37"/>
  <c r="AE23" i="37"/>
  <c r="AE21" i="37"/>
  <c r="AE10" i="37"/>
  <c r="AE16" i="37"/>
  <c r="AE20" i="37"/>
  <c r="AC15" i="37"/>
  <c r="AD15" i="37" s="1"/>
  <c r="AC19" i="37"/>
  <c r="AD19" i="37" s="1"/>
  <c r="AE8" i="37"/>
  <c r="AC12" i="37"/>
  <c r="AD12" i="37" s="1"/>
  <c r="AE12" i="37" s="1"/>
  <c r="AC14" i="37"/>
  <c r="AD14" i="37" s="1"/>
  <c r="AE11" i="37"/>
  <c r="AE25" i="37"/>
  <c r="AC26" i="37"/>
  <c r="AD26" i="37" s="1"/>
  <c r="AE26" i="37" s="1"/>
  <c r="AC13" i="37"/>
  <c r="AD13" i="37" s="1"/>
  <c r="AE13" i="37" s="1"/>
  <c r="AE22" i="37"/>
  <c r="X19" i="37"/>
  <c r="X15" i="37"/>
  <c r="X14" i="37"/>
  <c r="AE7" i="37"/>
  <c r="AF7" i="37" s="1"/>
  <c r="AF8" i="37" l="1"/>
  <c r="AF9" i="37" s="1"/>
  <c r="AF10" i="37" s="1"/>
  <c r="AF11" i="37" s="1"/>
  <c r="AF12" i="37" s="1"/>
  <c r="AF13" i="37" s="1"/>
  <c r="K18" i="37"/>
  <c r="AG16" i="37"/>
  <c r="T15" i="37"/>
  <c r="AE15" i="37"/>
  <c r="AE14" i="37"/>
  <c r="AE19" i="37"/>
  <c r="AG17" i="37" l="1"/>
  <c r="T16" i="37"/>
  <c r="AF14" i="37"/>
  <c r="AF15" i="37" s="1"/>
  <c r="AF16" i="37" s="1"/>
  <c r="AF17" i="37" s="1"/>
  <c r="AF18" i="37" s="1"/>
  <c r="AF19" i="37" s="1"/>
  <c r="AF20" i="37" s="1"/>
  <c r="AF21" i="37" s="1"/>
  <c r="AF22" i="37" s="1"/>
  <c r="AF23" i="37" s="1"/>
  <c r="AF24" i="37" s="1"/>
  <c r="AF25" i="37" s="1"/>
  <c r="AF26" i="37" s="1"/>
  <c r="I23" i="37" s="1"/>
  <c r="AG18" i="37" l="1"/>
  <c r="T17" i="37"/>
  <c r="AF27" i="37"/>
  <c r="AF28" i="37" s="1"/>
  <c r="AF29" i="37" s="1"/>
  <c r="AF30" i="37" s="1"/>
  <c r="AF31" i="37" s="1"/>
  <c r="AF32" i="37" s="1"/>
  <c r="AF33" i="37" s="1"/>
  <c r="AF34" i="37" s="1"/>
  <c r="AF35" i="37" s="1"/>
  <c r="AF36" i="37" s="1"/>
  <c r="AG19" i="37" l="1"/>
  <c r="T18" i="37"/>
  <c r="AG20" i="37" l="1"/>
  <c r="T19" i="37"/>
  <c r="AG21" i="37" l="1"/>
  <c r="T20" i="37"/>
  <c r="AG22" i="37" l="1"/>
  <c r="T21" i="37"/>
  <c r="AG23" i="37" l="1"/>
  <c r="T22" i="37"/>
  <c r="AG24" i="37" l="1"/>
  <c r="T23" i="37"/>
  <c r="AG25" i="37" l="1"/>
  <c r="T24" i="37"/>
  <c r="AG26" i="37" l="1"/>
  <c r="T25" i="37"/>
  <c r="T26" i="37" l="1"/>
  <c r="AG27" i="37"/>
  <c r="AG28" i="37" l="1"/>
  <c r="T27" i="37"/>
  <c r="T28" i="37" l="1"/>
  <c r="AG29" i="37"/>
  <c r="T29" i="37" l="1"/>
  <c r="AG30" i="37"/>
  <c r="T30" i="37" l="1"/>
  <c r="AG31" i="37"/>
  <c r="T31" i="37" l="1"/>
  <c r="AG32" i="37"/>
  <c r="T32" i="37" l="1"/>
  <c r="AG33" i="37"/>
  <c r="T33" i="37" l="1"/>
  <c r="AG34" i="37"/>
  <c r="T34" i="37" l="1"/>
  <c r="AG35" i="37"/>
  <c r="T35" i="37" l="1"/>
  <c r="AG36" i="37"/>
  <c r="T36" i="37" s="1"/>
</calcChain>
</file>

<file path=xl/sharedStrings.xml><?xml version="1.0" encoding="utf-8"?>
<sst xmlns="http://schemas.openxmlformats.org/spreadsheetml/2006/main" count="271" uniqueCount="245">
  <si>
    <t>合計</t>
    <rPh sb="0" eb="2">
      <t>ゴウケイ</t>
    </rPh>
    <phoneticPr fontId="1"/>
  </si>
  <si>
    <t>実単価</t>
    <rPh sb="0" eb="1">
      <t>ジツ</t>
    </rPh>
    <rPh sb="1" eb="3">
      <t>タンカ</t>
    </rPh>
    <phoneticPr fontId="1"/>
  </si>
  <si>
    <t>費用計</t>
    <rPh sb="0" eb="2">
      <t>ヒヨウ</t>
    </rPh>
    <rPh sb="2" eb="3">
      <t>ケイ</t>
    </rPh>
    <phoneticPr fontId="1"/>
  </si>
  <si>
    <t>照明</t>
    <rPh sb="0" eb="2">
      <t>ショウメイ</t>
    </rPh>
    <phoneticPr fontId="1"/>
  </si>
  <si>
    <t>冷蔵庫</t>
    <rPh sb="0" eb="3">
      <t>レイゾウコ</t>
    </rPh>
    <phoneticPr fontId="1"/>
  </si>
  <si>
    <t>テレビ</t>
    <phoneticPr fontId="1"/>
  </si>
  <si>
    <t>温水便座</t>
    <rPh sb="0" eb="2">
      <t>オンスイ</t>
    </rPh>
    <rPh sb="2" eb="4">
      <t>ベンザ</t>
    </rPh>
    <phoneticPr fontId="1"/>
  </si>
  <si>
    <t>乾燥機</t>
    <rPh sb="0" eb="3">
      <t>カンソウキ</t>
    </rPh>
    <phoneticPr fontId="1"/>
  </si>
  <si>
    <t>食洗機</t>
    <rPh sb="0" eb="3">
      <t>ショクセンキ</t>
    </rPh>
    <phoneticPr fontId="1"/>
  </si>
  <si>
    <t>その他</t>
    <rPh sb="2" eb="3">
      <t>タ</t>
    </rPh>
    <phoneticPr fontId="1"/>
  </si>
  <si>
    <t>エアコン-冷房</t>
    <rPh sb="5" eb="7">
      <t>レイボウ</t>
    </rPh>
    <phoneticPr fontId="1"/>
  </si>
  <si>
    <t>エアコン-暖房</t>
    <rPh sb="5" eb="7">
      <t>ダンボウ</t>
    </rPh>
    <phoneticPr fontId="1"/>
  </si>
  <si>
    <t>太陽光パネル価格</t>
    <rPh sb="0" eb="3">
      <t>タイヨウコウ</t>
    </rPh>
    <rPh sb="6" eb="8">
      <t>カカク</t>
    </rPh>
    <phoneticPr fontId="1"/>
  </si>
  <si>
    <t>電気使用量予測</t>
    <rPh sb="0" eb="2">
      <t>デンキ</t>
    </rPh>
    <rPh sb="2" eb="5">
      <t>シヨウリョウ</t>
    </rPh>
    <rPh sb="5" eb="7">
      <t>ヨソク</t>
    </rPh>
    <phoneticPr fontId="1"/>
  </si>
  <si>
    <t>換算係数</t>
    <rPh sb="0" eb="2">
      <t>カンサン</t>
    </rPh>
    <rPh sb="2" eb="4">
      <t>ケイスウ</t>
    </rPh>
    <phoneticPr fontId="1"/>
  </si>
  <si>
    <t>㎡/坪</t>
    <rPh sb="2" eb="3">
      <t>ツボ</t>
    </rPh>
    <phoneticPr fontId="1"/>
  </si>
  <si>
    <t>方位</t>
    <rPh sb="0" eb="2">
      <t>ホウイ</t>
    </rPh>
    <phoneticPr fontId="1"/>
  </si>
  <si>
    <t>0°(真南)</t>
  </si>
  <si>
    <t>15°</t>
  </si>
  <si>
    <t>30°</t>
  </si>
  <si>
    <t>45°</t>
  </si>
  <si>
    <t>90°(東､西)</t>
  </si>
  <si>
    <t>水平面</t>
  </si>
  <si>
    <t>10°</t>
  </si>
  <si>
    <t>20°</t>
  </si>
  <si>
    <t>40°</t>
  </si>
  <si>
    <t>方位</t>
    <rPh sb="0" eb="2">
      <t>ホウイ</t>
    </rPh>
    <phoneticPr fontId="1"/>
  </si>
  <si>
    <t>度</t>
    <rPh sb="0" eb="1">
      <t>ド</t>
    </rPh>
    <phoneticPr fontId="1"/>
  </si>
  <si>
    <t>rad</t>
    <phoneticPr fontId="1"/>
  </si>
  <si>
    <t>Sin</t>
    <phoneticPr fontId="1"/>
  </si>
  <si>
    <t>Cos</t>
    <phoneticPr fontId="1"/>
  </si>
  <si>
    <t>パネル導入量</t>
    <rPh sb="3" eb="6">
      <t>ドウニュウリョウ</t>
    </rPh>
    <phoneticPr fontId="1"/>
  </si>
  <si>
    <t>パネル単価(%)</t>
    <rPh sb="3" eb="5">
      <t>タンカ</t>
    </rPh>
    <phoneticPr fontId="1"/>
  </si>
  <si>
    <t>パネル設置容量</t>
    <rPh sb="3" eb="5">
      <t>セッチ</t>
    </rPh>
    <rPh sb="5" eb="7">
      <t>ヨウリョウ</t>
    </rPh>
    <phoneticPr fontId="2"/>
  </si>
  <si>
    <t>ソーラーカーポート使用</t>
    <rPh sb="9" eb="11">
      <t>シヨウ</t>
    </rPh>
    <phoneticPr fontId="2"/>
  </si>
  <si>
    <t>金利</t>
    <rPh sb="0" eb="2">
      <t>キンリ</t>
    </rPh>
    <phoneticPr fontId="2"/>
  </si>
  <si>
    <t>保証料率</t>
    <rPh sb="0" eb="3">
      <t>ホショウリョウ</t>
    </rPh>
    <rPh sb="3" eb="4">
      <t>リツ</t>
    </rPh>
    <phoneticPr fontId="2"/>
  </si>
  <si>
    <t>フォームパラメータ</t>
  </si>
  <si>
    <t>ローン種別</t>
    <rPh sb="3" eb="5">
      <t>シュベツ</t>
    </rPh>
    <phoneticPr fontId="2"/>
  </si>
  <si>
    <t>銀行ローン変動金利</t>
    <rPh sb="5" eb="7">
      <t>ヘンドウ</t>
    </rPh>
    <rPh sb="7" eb="9">
      <t>キンリ</t>
    </rPh>
    <phoneticPr fontId="2"/>
  </si>
  <si>
    <t>支払いタイプ</t>
    <rPh sb="0" eb="2">
      <t>シハラ</t>
    </rPh>
    <phoneticPr fontId="2"/>
  </si>
  <si>
    <t>銀行ローン10年固定金利</t>
    <rPh sb="0" eb="2">
      <t>ギンコウ</t>
    </rPh>
    <rPh sb="7" eb="8">
      <t>ネン</t>
    </rPh>
    <rPh sb="8" eb="10">
      <t>コテイ</t>
    </rPh>
    <rPh sb="10" eb="12">
      <t>キンリ</t>
    </rPh>
    <phoneticPr fontId="2"/>
  </si>
  <si>
    <t>一条工務店夢発電</t>
  </si>
  <si>
    <t>自己資金</t>
    <rPh sb="0" eb="2">
      <t>ジコ</t>
    </rPh>
    <rPh sb="2" eb="4">
      <t>シキン</t>
    </rPh>
    <phoneticPr fontId="2"/>
  </si>
  <si>
    <t>日中の年間使用電力</t>
    <rPh sb="0" eb="2">
      <t>ニッチュウ</t>
    </rPh>
    <rPh sb="3" eb="5">
      <t>ネンカン</t>
    </rPh>
    <rPh sb="5" eb="7">
      <t>シヨウ</t>
    </rPh>
    <rPh sb="7" eb="9">
      <t>デンリョク</t>
    </rPh>
    <phoneticPr fontId="3"/>
  </si>
  <si>
    <t>パネル1kWあたりの価格</t>
    <rPh sb="10" eb="12">
      <t>カカク</t>
    </rPh>
    <phoneticPr fontId="3"/>
  </si>
  <si>
    <t>設置合計価格</t>
    <rPh sb="0" eb="2">
      <t>セッチ</t>
    </rPh>
    <rPh sb="2" eb="4">
      <t>ゴウケイ</t>
    </rPh>
    <rPh sb="4" eb="6">
      <t>カカク</t>
    </rPh>
    <phoneticPr fontId="3"/>
  </si>
  <si>
    <t>その他補助金</t>
    <rPh sb="2" eb="3">
      <t>タ</t>
    </rPh>
    <rPh sb="3" eb="6">
      <t>ホジョキン</t>
    </rPh>
    <phoneticPr fontId="3"/>
  </si>
  <si>
    <t>ローン期間</t>
    <rPh sb="3" eb="5">
      <t>キカン</t>
    </rPh>
    <phoneticPr fontId="3"/>
  </si>
  <si>
    <t>ローン金利合計</t>
    <rPh sb="3" eb="5">
      <t>キンリ</t>
    </rPh>
    <rPh sb="5" eb="7">
      <t>ゴウケイ</t>
    </rPh>
    <phoneticPr fontId="3"/>
  </si>
  <si>
    <t>パネル価格</t>
    <rPh sb="3" eb="5">
      <t>カカク</t>
    </rPh>
    <phoneticPr fontId="3"/>
  </si>
  <si>
    <t>投資費用計</t>
    <rPh sb="0" eb="2">
      <t>トウシ</t>
    </rPh>
    <rPh sb="2" eb="4">
      <t>ヒヨウ</t>
    </rPh>
    <rPh sb="4" eb="5">
      <t>ケイ</t>
    </rPh>
    <phoneticPr fontId="3"/>
  </si>
  <si>
    <t>年数</t>
    <rPh sb="0" eb="2">
      <t>ネンスウ</t>
    </rPh>
    <phoneticPr fontId="3"/>
  </si>
  <si>
    <t>性能劣化(年率)</t>
    <rPh sb="0" eb="2">
      <t>セイノウ</t>
    </rPh>
    <rPh sb="2" eb="4">
      <t>レッカ</t>
    </rPh>
    <rPh sb="5" eb="7">
      <t>ネンリツ</t>
    </rPh>
    <phoneticPr fontId="3"/>
  </si>
  <si>
    <t>単位発電量(パネル1kW当たり)</t>
    <rPh sb="0" eb="2">
      <t>タンイ</t>
    </rPh>
    <rPh sb="2" eb="4">
      <t>ハツデン</t>
    </rPh>
    <rPh sb="4" eb="5">
      <t>リョウ</t>
    </rPh>
    <rPh sb="12" eb="13">
      <t>ア</t>
    </rPh>
    <phoneticPr fontId="3"/>
  </si>
  <si>
    <t>日中購入電力価格</t>
    <rPh sb="0" eb="2">
      <t>ニッチュウ</t>
    </rPh>
    <rPh sb="2" eb="4">
      <t>コウニュウ</t>
    </rPh>
    <rPh sb="4" eb="6">
      <t>デンリョク</t>
    </rPh>
    <rPh sb="6" eb="8">
      <t>カカク</t>
    </rPh>
    <phoneticPr fontId="3"/>
  </si>
  <si>
    <t>交換周期期間（年ごと）</t>
    <rPh sb="0" eb="2">
      <t>コウカン</t>
    </rPh>
    <rPh sb="2" eb="4">
      <t>シュウキ</t>
    </rPh>
    <rPh sb="4" eb="6">
      <t>キカン</t>
    </rPh>
    <rPh sb="7" eb="8">
      <t>トシ</t>
    </rPh>
    <phoneticPr fontId="3"/>
  </si>
  <si>
    <t>パワーコンディショナー交換</t>
    <rPh sb="11" eb="13">
      <t>コウカン</t>
    </rPh>
    <phoneticPr fontId="3"/>
  </si>
  <si>
    <t>固定資産税</t>
    <rPh sb="0" eb="2">
      <t>コテイ</t>
    </rPh>
    <rPh sb="2" eb="5">
      <t>シサンゼイ</t>
    </rPh>
    <phoneticPr fontId="3"/>
  </si>
  <si>
    <t>屋根の形式</t>
    <rPh sb="0" eb="2">
      <t>ヤネ</t>
    </rPh>
    <rPh sb="3" eb="5">
      <t>ケイシキ</t>
    </rPh>
    <phoneticPr fontId="4"/>
  </si>
  <si>
    <t>勾配の大小</t>
    <rPh sb="0" eb="2">
      <t>コウバイ</t>
    </rPh>
    <rPh sb="3" eb="5">
      <t>ダイショウ</t>
    </rPh>
    <phoneticPr fontId="4"/>
  </si>
  <si>
    <t>軒出の大小</t>
    <rPh sb="0" eb="1">
      <t>ノキ</t>
    </rPh>
    <rPh sb="1" eb="2">
      <t>ダ</t>
    </rPh>
    <rPh sb="3" eb="5">
      <t>ダイショウ</t>
    </rPh>
    <phoneticPr fontId="4"/>
  </si>
  <si>
    <t>下屋の多少</t>
    <rPh sb="0" eb="1">
      <t>シモ</t>
    </rPh>
    <rPh sb="3" eb="5">
      <t>タショウ</t>
    </rPh>
    <phoneticPr fontId="4"/>
  </si>
  <si>
    <t>施工の程度</t>
    <rPh sb="0" eb="2">
      <t>セコウ</t>
    </rPh>
    <rPh sb="3" eb="5">
      <t>テイド</t>
    </rPh>
    <phoneticPr fontId="4"/>
  </si>
  <si>
    <t>屋根率</t>
    <rPh sb="0" eb="2">
      <t>ヤネ</t>
    </rPh>
    <rPh sb="2" eb="3">
      <t>リツ</t>
    </rPh>
    <phoneticPr fontId="4"/>
  </si>
  <si>
    <t>補正係数</t>
    <rPh sb="0" eb="2">
      <t>ホセイ</t>
    </rPh>
    <rPh sb="2" eb="4">
      <t>ケイスウ</t>
    </rPh>
    <phoneticPr fontId="3"/>
  </si>
  <si>
    <t>家の延べ床面積</t>
    <rPh sb="0" eb="1">
      <t>イエ</t>
    </rPh>
    <rPh sb="2" eb="3">
      <t>ノ</t>
    </rPh>
    <rPh sb="4" eb="7">
      <t>ユカメンセキ</t>
    </rPh>
    <phoneticPr fontId="3"/>
  </si>
  <si>
    <t>固定資産経年補正</t>
    <rPh sb="0" eb="2">
      <t>コテイ</t>
    </rPh>
    <rPh sb="2" eb="4">
      <t>シサン</t>
    </rPh>
    <rPh sb="4" eb="6">
      <t>ケイネン</t>
    </rPh>
    <rPh sb="6" eb="8">
      <t>ホセイ</t>
    </rPh>
    <phoneticPr fontId="3"/>
  </si>
  <si>
    <t>太陽光補正済み標準評点数（Pt）</t>
    <rPh sb="0" eb="3">
      <t>タイヨウコウ</t>
    </rPh>
    <rPh sb="3" eb="5">
      <t>ホセイ</t>
    </rPh>
    <rPh sb="5" eb="6">
      <t>ズ</t>
    </rPh>
    <rPh sb="7" eb="9">
      <t>ヒョウジュン</t>
    </rPh>
    <rPh sb="9" eb="11">
      <t>ヒョウテン</t>
    </rPh>
    <rPh sb="11" eb="12">
      <t>スウ</t>
    </rPh>
    <phoneticPr fontId="3"/>
  </si>
  <si>
    <t>ガルバ屋根補正済み標準評点数（Pt）</t>
    <rPh sb="3" eb="5">
      <t>ヤネ</t>
    </rPh>
    <rPh sb="5" eb="7">
      <t>ホセイ</t>
    </rPh>
    <rPh sb="7" eb="8">
      <t>ズ</t>
    </rPh>
    <rPh sb="9" eb="11">
      <t>ヒョウジュン</t>
    </rPh>
    <rPh sb="11" eb="13">
      <t>ヒョウテン</t>
    </rPh>
    <rPh sb="13" eb="14">
      <t>スウ</t>
    </rPh>
    <phoneticPr fontId="3"/>
  </si>
  <si>
    <t>太陽光評価額(点)</t>
    <rPh sb="0" eb="3">
      <t>タイヨウコウ</t>
    </rPh>
    <rPh sb="3" eb="6">
      <t>ヒョウカガク</t>
    </rPh>
    <rPh sb="7" eb="8">
      <t>テン</t>
    </rPh>
    <phoneticPr fontId="3"/>
  </si>
  <si>
    <t>ガルバ屋根評価額（点）</t>
    <rPh sb="3" eb="5">
      <t>ヤネ</t>
    </rPh>
    <rPh sb="5" eb="8">
      <t>ヒョウカガク</t>
    </rPh>
    <phoneticPr fontId="3"/>
  </si>
  <si>
    <t>太陽光パネル標準評点数（点）</t>
    <rPh sb="0" eb="3">
      <t>タイヨウコウ</t>
    </rPh>
    <rPh sb="6" eb="8">
      <t>ヒョウジュン</t>
    </rPh>
    <rPh sb="8" eb="10">
      <t>ヒョウテン</t>
    </rPh>
    <rPh sb="10" eb="11">
      <t>スウ</t>
    </rPh>
    <phoneticPr fontId="3"/>
  </si>
  <si>
    <t>評点1点の円換算係数</t>
    <rPh sb="0" eb="2">
      <t>ヒョウテン</t>
    </rPh>
    <rPh sb="3" eb="4">
      <t>テン</t>
    </rPh>
    <rPh sb="5" eb="8">
      <t>エンカンサン</t>
    </rPh>
    <rPh sb="8" eb="10">
      <t>ケイスウ</t>
    </rPh>
    <phoneticPr fontId="3"/>
  </si>
  <si>
    <t>太陽光評価額(円)</t>
    <rPh sb="0" eb="3">
      <t>タイヨウコウ</t>
    </rPh>
    <rPh sb="3" eb="6">
      <t>ヒョウカガク</t>
    </rPh>
    <rPh sb="7" eb="8">
      <t>エン</t>
    </rPh>
    <phoneticPr fontId="3"/>
  </si>
  <si>
    <t>ガルバ屋根評価額（円）</t>
    <rPh sb="3" eb="5">
      <t>ヤネ</t>
    </rPh>
    <rPh sb="5" eb="8">
      <t>ヒョウカガク</t>
    </rPh>
    <rPh sb="9" eb="10">
      <t>エン</t>
    </rPh>
    <phoneticPr fontId="3"/>
  </si>
  <si>
    <t>固定資産税率</t>
    <rPh sb="0" eb="2">
      <t>コテイ</t>
    </rPh>
    <rPh sb="2" eb="4">
      <t>シサン</t>
    </rPh>
    <rPh sb="4" eb="6">
      <t>ゼイリツ</t>
    </rPh>
    <phoneticPr fontId="3"/>
  </si>
  <si>
    <t>初年度固定資産増額分(円)</t>
    <rPh sb="0" eb="3">
      <t>ショネンド</t>
    </rPh>
    <rPh sb="3" eb="7">
      <t>コテイシサン</t>
    </rPh>
    <rPh sb="7" eb="8">
      <t>ゾウ</t>
    </rPh>
    <rPh sb="8" eb="9">
      <t>ガク</t>
    </rPh>
    <rPh sb="9" eb="10">
      <t>ブン</t>
    </rPh>
    <phoneticPr fontId="3"/>
  </si>
  <si>
    <t>色の説明</t>
    <rPh sb="0" eb="1">
      <t>イロ</t>
    </rPh>
    <rPh sb="2" eb="4">
      <t>セツメイ</t>
    </rPh>
    <phoneticPr fontId="3"/>
  </si>
  <si>
    <t>黄色：個人ごとに値が異なるパラメータ</t>
    <rPh sb="0" eb="2">
      <t>キイロ</t>
    </rPh>
    <rPh sb="3" eb="5">
      <t>コジン</t>
    </rPh>
    <rPh sb="8" eb="9">
      <t>アタイ</t>
    </rPh>
    <rPh sb="10" eb="11">
      <t>コト</t>
    </rPh>
    <phoneticPr fontId="3"/>
  </si>
  <si>
    <t>ピンク：一般的なデータを使用しているが、場合によって設定が必要なパラメータ</t>
    <rPh sb="4" eb="7">
      <t>イッパンテキ</t>
    </rPh>
    <rPh sb="12" eb="14">
      <t>シヨウ</t>
    </rPh>
    <rPh sb="20" eb="22">
      <t>バアイ</t>
    </rPh>
    <rPh sb="26" eb="28">
      <t>セッテイ</t>
    </rPh>
    <rPh sb="29" eb="31">
      <t>ヒツヨウ</t>
    </rPh>
    <phoneticPr fontId="3"/>
  </si>
  <si>
    <t>自家使用分(円)</t>
    <rPh sb="0" eb="2">
      <t>ジカ</t>
    </rPh>
    <rPh sb="2" eb="5">
      <t>シヨウブン</t>
    </rPh>
    <rPh sb="6" eb="7">
      <t>エン</t>
    </rPh>
    <phoneticPr fontId="3"/>
  </si>
  <si>
    <t>年間売電額(円)</t>
    <rPh sb="0" eb="2">
      <t>ネンカン</t>
    </rPh>
    <rPh sb="2" eb="4">
      <t>バイデン</t>
    </rPh>
    <rPh sb="4" eb="5">
      <t>ガク</t>
    </rPh>
    <rPh sb="6" eb="7">
      <t>エン</t>
    </rPh>
    <phoneticPr fontId="3"/>
  </si>
  <si>
    <t>累積収支(円)</t>
    <rPh sb="0" eb="2">
      <t>ルイセキ</t>
    </rPh>
    <rPh sb="2" eb="4">
      <t>シュウシ</t>
    </rPh>
    <phoneticPr fontId="3"/>
  </si>
  <si>
    <t>一条工務店：太陽光発電シミュレーション結果グラフ</t>
    <rPh sb="0" eb="5">
      <t>イチジョウコウムテン</t>
    </rPh>
    <rPh sb="6" eb="9">
      <t>タイヨウコウ</t>
    </rPh>
    <rPh sb="9" eb="11">
      <t>ハツデン</t>
    </rPh>
    <rPh sb="19" eb="21">
      <t>ケッカ</t>
    </rPh>
    <phoneticPr fontId="3"/>
  </si>
  <si>
    <t>支出</t>
    <rPh sb="0" eb="2">
      <t>シシュツ</t>
    </rPh>
    <phoneticPr fontId="3"/>
  </si>
  <si>
    <t>発電</t>
    <rPh sb="0" eb="2">
      <t>ハツデン</t>
    </rPh>
    <phoneticPr fontId="3"/>
  </si>
  <si>
    <t>任意ローン</t>
    <rPh sb="0" eb="2">
      <t>ニンイ</t>
    </rPh>
    <phoneticPr fontId="1"/>
  </si>
  <si>
    <t>住宅種別</t>
    <rPh sb="0" eb="2">
      <t>ジュウタク</t>
    </rPh>
    <rPh sb="2" eb="4">
      <t>シュベツ</t>
    </rPh>
    <phoneticPr fontId="1"/>
  </si>
  <si>
    <t>長期優良住宅</t>
    <rPh sb="0" eb="2">
      <t>チョウキ</t>
    </rPh>
    <rPh sb="2" eb="4">
      <t>ユウリョウ</t>
    </rPh>
    <rPh sb="4" eb="6">
      <t>ジュウタク</t>
    </rPh>
    <phoneticPr fontId="1"/>
  </si>
  <si>
    <t>年数</t>
    <rPh sb="0" eb="2">
      <t>ネンスウ</t>
    </rPh>
    <phoneticPr fontId="1"/>
  </si>
  <si>
    <t>税率</t>
    <rPh sb="0" eb="2">
      <t>ゼイリツ</t>
    </rPh>
    <phoneticPr fontId="1"/>
  </si>
  <si>
    <t>一般住宅</t>
    <rPh sb="0" eb="2">
      <t>イッパン</t>
    </rPh>
    <rPh sb="2" eb="4">
      <t>ジュウタク</t>
    </rPh>
    <phoneticPr fontId="1"/>
  </si>
  <si>
    <t>Producted by さすけ</t>
    <phoneticPr fontId="3"/>
  </si>
  <si>
    <t>バージョン</t>
    <phoneticPr fontId="5"/>
  </si>
  <si>
    <t>修正点</t>
    <rPh sb="0" eb="3">
      <t>シュウセイテン</t>
    </rPh>
    <phoneticPr fontId="5"/>
  </si>
  <si>
    <t>長期優良住宅の固定資産税減税を評価できるように修正しました。</t>
    <rPh sb="0" eb="2">
      <t>チョウキ</t>
    </rPh>
    <rPh sb="2" eb="4">
      <t>ユウリョウ</t>
    </rPh>
    <rPh sb="4" eb="6">
      <t>ジュウタク</t>
    </rPh>
    <rPh sb="7" eb="9">
      <t>コテイ</t>
    </rPh>
    <rPh sb="9" eb="12">
      <t>シサンゼイ</t>
    </rPh>
    <rPh sb="12" eb="14">
      <t>ゲンゼイ</t>
    </rPh>
    <rPh sb="15" eb="17">
      <t>ヒョウカ</t>
    </rPh>
    <rPh sb="23" eb="25">
      <t>シュウセイ</t>
    </rPh>
    <phoneticPr fontId="5"/>
  </si>
  <si>
    <t>太陽光発電パネルの価格が間違えておりました。修正しました。</t>
    <rPh sb="0" eb="3">
      <t>タイヨウコウ</t>
    </rPh>
    <rPh sb="3" eb="5">
      <t>ハツデン</t>
    </rPh>
    <rPh sb="9" eb="11">
      <t>カカク</t>
    </rPh>
    <rPh sb="12" eb="14">
      <t>マチガ</t>
    </rPh>
    <rPh sb="22" eb="24">
      <t>シュウセイ</t>
    </rPh>
    <phoneticPr fontId="5"/>
  </si>
  <si>
    <t>金利計算の間違いを修正、月次返済額情報を追加、CO2削減情報を追加</t>
    <rPh sb="0" eb="2">
      <t>キンリ</t>
    </rPh>
    <rPh sb="2" eb="4">
      <t>ケイサン</t>
    </rPh>
    <rPh sb="5" eb="7">
      <t>マチガ</t>
    </rPh>
    <rPh sb="9" eb="11">
      <t>シュウセイ</t>
    </rPh>
    <rPh sb="12" eb="14">
      <t>ツキジ</t>
    </rPh>
    <rPh sb="14" eb="17">
      <t>ヘンサイガク</t>
    </rPh>
    <rPh sb="17" eb="19">
      <t>ジョウホウ</t>
    </rPh>
    <rPh sb="20" eb="22">
      <t>ツイカ</t>
    </rPh>
    <rPh sb="26" eb="28">
      <t>サクゲン</t>
    </rPh>
    <rPh sb="28" eb="30">
      <t>ジョウホウ</t>
    </rPh>
    <rPh sb="31" eb="33">
      <t>ツイカ</t>
    </rPh>
    <phoneticPr fontId="5"/>
  </si>
  <si>
    <t>CO2</t>
    <phoneticPr fontId="1"/>
  </si>
  <si>
    <t>太陽光</t>
    <rPh sb="0" eb="3">
      <t>タイヨウコウ</t>
    </rPh>
    <phoneticPr fontId="1"/>
  </si>
  <si>
    <t>kg-CO2/kWh</t>
    <phoneticPr fontId="1"/>
  </si>
  <si>
    <t>東電</t>
    <rPh sb="0" eb="2">
      <t>トウデン</t>
    </rPh>
    <phoneticPr fontId="1"/>
  </si>
  <si>
    <t>ガルバ鋼板屋根標準評点数（点）</t>
    <phoneticPr fontId="3"/>
  </si>
  <si>
    <t>太陽光設置による資産評価増分(円)</t>
    <rPh sb="0" eb="3">
      <t>タイヨウコウ</t>
    </rPh>
    <rPh sb="3" eb="5">
      <t>セッチ</t>
    </rPh>
    <rPh sb="8" eb="10">
      <t>シサン</t>
    </rPh>
    <rPh sb="10" eb="12">
      <t>ヒョウカ</t>
    </rPh>
    <rPh sb="12" eb="14">
      <t>ゾウブン</t>
    </rPh>
    <rPh sb="15" eb="16">
      <t>エン</t>
    </rPh>
    <phoneticPr fontId="3"/>
  </si>
  <si>
    <t>名目総額</t>
    <rPh sb="0" eb="2">
      <t>メイモク</t>
    </rPh>
    <rPh sb="2" eb="4">
      <t>ソウガク</t>
    </rPh>
    <phoneticPr fontId="1"/>
  </si>
  <si>
    <t>実総額</t>
    <rPh sb="0" eb="1">
      <t>ジツ</t>
    </rPh>
    <rPh sb="1" eb="3">
      <t>ソウガク</t>
    </rPh>
    <phoneticPr fontId="1"/>
  </si>
  <si>
    <t>補助金</t>
    <rPh sb="0" eb="3">
      <t>ホジョキン</t>
    </rPh>
    <phoneticPr fontId="1"/>
  </si>
  <si>
    <t>a</t>
    <phoneticPr fontId="1"/>
  </si>
  <si>
    <t>b</t>
    <phoneticPr fontId="1"/>
  </si>
  <si>
    <t>合計S</t>
    <rPh sb="0" eb="2">
      <t>ゴウケイ</t>
    </rPh>
    <phoneticPr fontId="1"/>
  </si>
  <si>
    <t>金利I</t>
    <rPh sb="0" eb="2">
      <t>キンリ</t>
    </rPh>
    <phoneticPr fontId="1"/>
  </si>
  <si>
    <t>年数T</t>
    <rPh sb="0" eb="2">
      <t>ネンスウ</t>
    </rPh>
    <phoneticPr fontId="1"/>
  </si>
  <si>
    <t>(1+I/12)^12t</t>
    <phoneticPr fontId="1"/>
  </si>
  <si>
    <t>I/12</t>
    <phoneticPr fontId="1"/>
  </si>
  <si>
    <t>A</t>
    <phoneticPr fontId="1"/>
  </si>
  <si>
    <t>B</t>
    <phoneticPr fontId="1"/>
  </si>
  <si>
    <t>B*A/(A-1)</t>
    <phoneticPr fontId="1"/>
  </si>
  <si>
    <t>傾き</t>
    <rPh sb="0" eb="1">
      <t>カタム</t>
    </rPh>
    <phoneticPr fontId="1"/>
  </si>
  <si>
    <t>切片</t>
    <rPh sb="0" eb="2">
      <t>セッペン</t>
    </rPh>
    <phoneticPr fontId="1"/>
  </si>
  <si>
    <t>収入（全量）</t>
    <rPh sb="0" eb="2">
      <t>シュウニュウ</t>
    </rPh>
    <rPh sb="3" eb="5">
      <t>ゼンリョウ</t>
    </rPh>
    <phoneticPr fontId="3"/>
  </si>
  <si>
    <t>全量買取</t>
    <rPh sb="0" eb="2">
      <t>ゼンリョウ</t>
    </rPh>
    <rPh sb="2" eb="4">
      <t>カイトリ</t>
    </rPh>
    <phoneticPr fontId="1"/>
  </si>
  <si>
    <t>パワーコンディショナー価格(円/台)</t>
    <rPh sb="11" eb="13">
      <t>カカク</t>
    </rPh>
    <rPh sb="14" eb="15">
      <t>エン</t>
    </rPh>
    <rPh sb="16" eb="17">
      <t>ダイ</t>
    </rPh>
    <phoneticPr fontId="3"/>
  </si>
  <si>
    <t>減価償却期間</t>
    <rPh sb="0" eb="2">
      <t>ゲンカ</t>
    </rPh>
    <rPh sb="2" eb="4">
      <t>ショウキャク</t>
    </rPh>
    <rPh sb="4" eb="6">
      <t>キカン</t>
    </rPh>
    <phoneticPr fontId="3"/>
  </si>
  <si>
    <t>税額</t>
    <rPh sb="0" eb="2">
      <t>ゼイガク</t>
    </rPh>
    <phoneticPr fontId="3"/>
  </si>
  <si>
    <t>収支（全量）</t>
    <rPh sb="0" eb="2">
      <t>シュウシ</t>
    </rPh>
    <rPh sb="3" eb="5">
      <t>ゼンリョウ</t>
    </rPh>
    <phoneticPr fontId="3"/>
  </si>
  <si>
    <t>パワーコンディショナー台数</t>
    <rPh sb="11" eb="13">
      <t>ダイスウ</t>
    </rPh>
    <phoneticPr fontId="3"/>
  </si>
  <si>
    <t>税金</t>
    <rPh sb="0" eb="2">
      <t>ゼイキン</t>
    </rPh>
    <phoneticPr fontId="1"/>
  </si>
  <si>
    <t>年収</t>
    <rPh sb="0" eb="2">
      <t>ネンシュウ</t>
    </rPh>
    <phoneticPr fontId="1"/>
  </si>
  <si>
    <t>容量</t>
    <rPh sb="0" eb="2">
      <t>ヨウリョウ</t>
    </rPh>
    <phoneticPr fontId="3"/>
  </si>
  <si>
    <t>年間発電量</t>
    <rPh sb="0" eb="2">
      <t>ネンカン</t>
    </rPh>
    <rPh sb="2" eb="5">
      <t>ハツデンリョウ</t>
    </rPh>
    <phoneticPr fontId="3"/>
  </si>
  <si>
    <t>価格</t>
    <rPh sb="0" eb="2">
      <t>カカク</t>
    </rPh>
    <phoneticPr fontId="3"/>
  </si>
  <si>
    <t>角度</t>
    <rPh sb="0" eb="2">
      <t>カクド</t>
    </rPh>
    <phoneticPr fontId="3"/>
  </si>
  <si>
    <t>勾配</t>
    <rPh sb="0" eb="2">
      <t>コウバイ</t>
    </rPh>
    <phoneticPr fontId="3"/>
  </si>
  <si>
    <t>カーポート</t>
    <phoneticPr fontId="3"/>
  </si>
  <si>
    <t>じゅんさんB</t>
    <phoneticPr fontId="3"/>
  </si>
  <si>
    <t>じゅんさんA</t>
    <phoneticPr fontId="3"/>
  </si>
  <si>
    <t>kakuさん</t>
    <phoneticPr fontId="3"/>
  </si>
  <si>
    <t>単価</t>
    <rPh sb="0" eb="2">
      <t>タンカ</t>
    </rPh>
    <phoneticPr fontId="3"/>
  </si>
  <si>
    <t>メンテ
費用(円)</t>
    <rPh sb="4" eb="6">
      <t>ヒヨウ</t>
    </rPh>
    <phoneticPr fontId="3"/>
  </si>
  <si>
    <t>ちるりさん</t>
    <phoneticPr fontId="3"/>
  </si>
  <si>
    <t>とりさん</t>
    <phoneticPr fontId="3"/>
  </si>
  <si>
    <t>雪止め</t>
    <rPh sb="0" eb="2">
      <t>ユキド</t>
    </rPh>
    <phoneticPr fontId="3"/>
  </si>
  <si>
    <t>Bさん</t>
    <phoneticPr fontId="3"/>
  </si>
  <si>
    <t>Aさん</t>
    <phoneticPr fontId="3"/>
  </si>
  <si>
    <t>ナッツさん</t>
    <phoneticPr fontId="3"/>
  </si>
  <si>
    <t>takeさん</t>
    <phoneticPr fontId="3"/>
  </si>
  <si>
    <t>Bさん2</t>
    <phoneticPr fontId="3"/>
  </si>
  <si>
    <t>Bさん3</t>
    <phoneticPr fontId="3"/>
  </si>
  <si>
    <t>しんさん</t>
    <phoneticPr fontId="3"/>
  </si>
  <si>
    <t>その他費用</t>
    <rPh sb="2" eb="3">
      <t>ホカ</t>
    </rPh>
    <rPh sb="3" eb="5">
      <t>ヒヨウ</t>
    </rPh>
    <phoneticPr fontId="3"/>
  </si>
  <si>
    <t>予想価格</t>
    <rPh sb="0" eb="2">
      <t>ヨソウ</t>
    </rPh>
    <rPh sb="2" eb="4">
      <t>カカク</t>
    </rPh>
    <phoneticPr fontId="6"/>
  </si>
  <si>
    <t>利益</t>
    <rPh sb="0" eb="2">
      <t>リエキ</t>
    </rPh>
    <phoneticPr fontId="6"/>
  </si>
  <si>
    <t>返済月額</t>
    <rPh sb="0" eb="2">
      <t>ヘンサイ</t>
    </rPh>
    <rPh sb="2" eb="4">
      <t>ゲツガク</t>
    </rPh>
    <phoneticPr fontId="3"/>
  </si>
  <si>
    <t>返済期間</t>
    <rPh sb="0" eb="2">
      <t>ヘンサイ</t>
    </rPh>
    <rPh sb="2" eb="4">
      <t>キカン</t>
    </rPh>
    <phoneticPr fontId="6"/>
  </si>
  <si>
    <t>年</t>
    <rPh sb="0" eb="1">
      <t>ネン</t>
    </rPh>
    <phoneticPr fontId="6"/>
  </si>
  <si>
    <t>ヶ月</t>
    <rPh sb="1" eb="2">
      <t>ゲツ</t>
    </rPh>
    <phoneticPr fontId="6"/>
  </si>
  <si>
    <t>お名前</t>
    <rPh sb="1" eb="3">
      <t>ナマエ</t>
    </rPh>
    <phoneticPr fontId="6"/>
  </si>
  <si>
    <t>カーポート価格</t>
    <rPh sb="5" eb="7">
      <t>カカク</t>
    </rPh>
    <phoneticPr fontId="6"/>
  </si>
  <si>
    <t>キラキラさん</t>
    <phoneticPr fontId="6"/>
  </si>
  <si>
    <t>課税対象所得</t>
    <rPh sb="0" eb="2">
      <t>カゼイ</t>
    </rPh>
    <rPh sb="2" eb="4">
      <t>タイショウ</t>
    </rPh>
    <rPh sb="4" eb="6">
      <t>ショトク</t>
    </rPh>
    <phoneticPr fontId="3"/>
  </si>
  <si>
    <t>全量買取制度に対応</t>
    <rPh sb="0" eb="2">
      <t>ゼンリョウ</t>
    </rPh>
    <rPh sb="2" eb="4">
      <t>カイトリ</t>
    </rPh>
    <rPh sb="4" eb="6">
      <t>セイド</t>
    </rPh>
    <rPh sb="7" eb="9">
      <t>タイオウ</t>
    </rPh>
    <phoneticPr fontId="5"/>
  </si>
  <si>
    <t>パネル価格</t>
    <rPh sb="3" eb="5">
      <t>カカク</t>
    </rPh>
    <phoneticPr fontId="1"/>
  </si>
  <si>
    <t>合計</t>
    <rPh sb="0" eb="2">
      <t>ゴウケイ</t>
    </rPh>
    <phoneticPr fontId="1"/>
  </si>
  <si>
    <t>合計搭載量</t>
    <rPh sb="0" eb="2">
      <t>ゴウケイ</t>
    </rPh>
    <rPh sb="2" eb="4">
      <t>トウサイ</t>
    </rPh>
    <rPh sb="4" eb="5">
      <t>リョウ</t>
    </rPh>
    <phoneticPr fontId="3"/>
  </si>
  <si>
    <t>年間発電
量(kWh)</t>
    <rPh sb="0" eb="2">
      <t>ネンカン</t>
    </rPh>
    <rPh sb="5" eb="6">
      <t>リョウ</t>
    </rPh>
    <phoneticPr fontId="3"/>
  </si>
  <si>
    <t>ローン
支払い(円)</t>
    <rPh sb="4" eb="6">
      <t>シハラ</t>
    </rPh>
    <phoneticPr fontId="3"/>
  </si>
  <si>
    <t>固定
資産税(円)</t>
    <rPh sb="0" eb="2">
      <t>コテイ</t>
    </rPh>
    <rPh sb="3" eb="6">
      <t>シサンゼイ</t>
    </rPh>
    <phoneticPr fontId="3"/>
  </si>
  <si>
    <t>支払い
合計(円)</t>
    <rPh sb="0" eb="2">
      <t>シハラ</t>
    </rPh>
    <rPh sb="4" eb="5">
      <t>ゴウ</t>
    </rPh>
    <rPh sb="5" eb="6">
      <t>ケイ</t>
    </rPh>
    <phoneticPr fontId="3"/>
  </si>
  <si>
    <t>単年
収支(円)</t>
    <rPh sb="0" eb="2">
      <t>タンネン</t>
    </rPh>
    <rPh sb="3" eb="5">
      <t>シュウシ</t>
    </rPh>
    <phoneticPr fontId="3"/>
  </si>
  <si>
    <t>初年度予想発電量</t>
    <rPh sb="0" eb="3">
      <t>ショネンド</t>
    </rPh>
    <rPh sb="3" eb="5">
      <t>ヨソウ</t>
    </rPh>
    <rPh sb="5" eb="8">
      <t>ハツデンリョウ</t>
    </rPh>
    <phoneticPr fontId="3"/>
  </si>
  <si>
    <t>所得税・住民税</t>
    <rPh sb="0" eb="3">
      <t>ショトクゼイ</t>
    </rPh>
    <rPh sb="4" eb="7">
      <t>ジュウミンゼイ</t>
    </rPh>
    <phoneticPr fontId="3"/>
  </si>
  <si>
    <t>①パネル性能設定</t>
    <rPh sb="4" eb="6">
      <t>セイノウ</t>
    </rPh>
    <rPh sb="6" eb="8">
      <t>セッテイ</t>
    </rPh>
    <phoneticPr fontId="3"/>
  </si>
  <si>
    <t>②ローン設定</t>
    <rPh sb="4" eb="6">
      <t>セッテイ</t>
    </rPh>
    <phoneticPr fontId="3"/>
  </si>
  <si>
    <t>③電力価格設定</t>
    <rPh sb="1" eb="3">
      <t>デンリョク</t>
    </rPh>
    <rPh sb="3" eb="5">
      <t>カカク</t>
    </rPh>
    <rPh sb="5" eb="7">
      <t>セッテイ</t>
    </rPh>
    <phoneticPr fontId="3"/>
  </si>
  <si>
    <t>④メンテナンス費用設定</t>
    <rPh sb="7" eb="9">
      <t>ヒヨウ</t>
    </rPh>
    <rPh sb="9" eb="11">
      <t>セッテイ</t>
    </rPh>
    <phoneticPr fontId="3"/>
  </si>
  <si>
    <t>⑤発電量予測設定</t>
    <rPh sb="1" eb="3">
      <t>ハツデン</t>
    </rPh>
    <rPh sb="3" eb="4">
      <t>リョウ</t>
    </rPh>
    <rPh sb="4" eb="6">
      <t>ヨソク</t>
    </rPh>
    <rPh sb="6" eb="8">
      <t>セッテイ</t>
    </rPh>
    <phoneticPr fontId="3"/>
  </si>
  <si>
    <t>⑥費用概算</t>
    <rPh sb="1" eb="3">
      <t>ヒヨウ</t>
    </rPh>
    <rPh sb="3" eb="5">
      <t>ガイサン</t>
    </rPh>
    <phoneticPr fontId="3"/>
  </si>
  <si>
    <t>⑧メンテナンス費用/固定資産税（20年間）</t>
    <rPh sb="7" eb="9">
      <t>ヒヨウ</t>
    </rPh>
    <rPh sb="10" eb="14">
      <t>コテイシサン</t>
    </rPh>
    <rPh sb="14" eb="15">
      <t>ゼイ</t>
    </rPh>
    <rPh sb="18" eb="20">
      <t>ネンカン</t>
    </rPh>
    <phoneticPr fontId="3"/>
  </si>
  <si>
    <t>⑨収支概要・累積収支</t>
    <rPh sb="1" eb="3">
      <t>シュウシ</t>
    </rPh>
    <rPh sb="3" eb="5">
      <t>ガイヨウ</t>
    </rPh>
    <rPh sb="6" eb="8">
      <t>ルイセキ</t>
    </rPh>
    <rPh sb="8" eb="10">
      <t>シュウシ</t>
    </rPh>
    <phoneticPr fontId="3"/>
  </si>
  <si>
    <t>⑩固定資産税計算</t>
    <rPh sb="1" eb="3">
      <t>コテイ</t>
    </rPh>
    <rPh sb="3" eb="6">
      <t>シサンゼイ</t>
    </rPh>
    <rPh sb="6" eb="8">
      <t>ケイサン</t>
    </rPh>
    <phoneticPr fontId="3"/>
  </si>
  <si>
    <t>⑪雑所得税金</t>
    <rPh sb="1" eb="4">
      <t>ザッショトク</t>
    </rPh>
    <rPh sb="4" eb="6">
      <t>ゼイキン</t>
    </rPh>
    <phoneticPr fontId="3"/>
  </si>
  <si>
    <t>⑦夢発電ローン費用</t>
    <rPh sb="1" eb="2">
      <t>ユメ</t>
    </rPh>
    <rPh sb="2" eb="4">
      <t>ハツデン</t>
    </rPh>
    <rPh sb="7" eb="9">
      <t>ヒヨウ</t>
    </rPh>
    <phoneticPr fontId="3"/>
  </si>
  <si>
    <t>Cさん</t>
    <phoneticPr fontId="6"/>
  </si>
  <si>
    <t>雑費：必要経費</t>
    <rPh sb="0" eb="2">
      <t>ザッピ</t>
    </rPh>
    <rPh sb="3" eb="5">
      <t>ヒツヨウ</t>
    </rPh>
    <rPh sb="5" eb="7">
      <t>ケイヒ</t>
    </rPh>
    <phoneticPr fontId="3"/>
  </si>
  <si>
    <t>雑所得</t>
    <rPh sb="0" eb="3">
      <t>ザツショトク</t>
    </rPh>
    <phoneticPr fontId="3"/>
  </si>
  <si>
    <t>復興税税率</t>
    <rPh sb="0" eb="3">
      <t>フッコウゼイ</t>
    </rPh>
    <rPh sb="3" eb="5">
      <t>ゼイリツ</t>
    </rPh>
    <phoneticPr fontId="3"/>
  </si>
  <si>
    <t>所得税・住民税税率</t>
    <rPh sb="0" eb="3">
      <t>ショトクゼイ</t>
    </rPh>
    <rPh sb="4" eb="7">
      <t>ジュウミンゼイ</t>
    </rPh>
    <rPh sb="7" eb="9">
      <t>ゼイリツ</t>
    </rPh>
    <phoneticPr fontId="3"/>
  </si>
  <si>
    <t>雑所得税率計算ミスを修正、復興税を考慮</t>
    <rPh sb="0" eb="1">
      <t>ザッ</t>
    </rPh>
    <rPh sb="1" eb="3">
      <t>ショトク</t>
    </rPh>
    <rPh sb="3" eb="5">
      <t>ゼイリツ</t>
    </rPh>
    <rPh sb="5" eb="7">
      <t>ケイサン</t>
    </rPh>
    <rPh sb="10" eb="12">
      <t>シュウセイ</t>
    </rPh>
    <rPh sb="13" eb="16">
      <t>フッコウゼイ</t>
    </rPh>
    <rPh sb="17" eb="19">
      <t>コウリョ</t>
    </rPh>
    <phoneticPr fontId="5"/>
  </si>
  <si>
    <t>太陽光に対する税率</t>
    <rPh sb="0" eb="3">
      <t>タイヨウコウ</t>
    </rPh>
    <rPh sb="4" eb="5">
      <t>タイ</t>
    </rPh>
    <rPh sb="7" eb="9">
      <t>ゼイリツ</t>
    </rPh>
    <phoneticPr fontId="3"/>
  </si>
  <si>
    <t>一条工務店：太陽光発電シミュレーション結果表</t>
  </si>
  <si>
    <t>消費税率</t>
    <rPh sb="0" eb="3">
      <t>ショウヒゼイ</t>
    </rPh>
    <rPh sb="3" eb="4">
      <t>リツ</t>
    </rPh>
    <phoneticPr fontId="3"/>
  </si>
  <si>
    <t>固定売電期間</t>
    <rPh sb="0" eb="2">
      <t>コテイ</t>
    </rPh>
    <rPh sb="2" eb="4">
      <t>バイデン</t>
    </rPh>
    <rPh sb="4" eb="6">
      <t>キカン</t>
    </rPh>
    <phoneticPr fontId="1"/>
  </si>
  <si>
    <t>10kW未満</t>
    <rPh sb="4" eb="6">
      <t>ミマン</t>
    </rPh>
    <phoneticPr fontId="1"/>
  </si>
  <si>
    <t>10kW以上</t>
    <rPh sb="4" eb="6">
      <t>イジョウ</t>
    </rPh>
    <phoneticPr fontId="1"/>
  </si>
  <si>
    <t>パネル単価（税抜)</t>
    <rPh sb="3" eb="5">
      <t>タンカ</t>
    </rPh>
    <rPh sb="6" eb="8">
      <t>ゼイヌ</t>
    </rPh>
    <phoneticPr fontId="1"/>
  </si>
  <si>
    <t>総額（税抜）</t>
    <rPh sb="0" eb="2">
      <t>ソウガク</t>
    </rPh>
    <rPh sb="3" eb="5">
      <t>ゼイヌ</t>
    </rPh>
    <phoneticPr fontId="2"/>
  </si>
  <si>
    <t>変圧器価格</t>
    <phoneticPr fontId="3"/>
  </si>
  <si>
    <t>売電開始予定年</t>
    <rPh sb="0" eb="2">
      <t>バイデン</t>
    </rPh>
    <rPh sb="2" eb="4">
      <t>カイシ</t>
    </rPh>
    <rPh sb="4" eb="6">
      <t>ヨテイ</t>
    </rPh>
    <rPh sb="6" eb="7">
      <t>ネン</t>
    </rPh>
    <phoneticPr fontId="3"/>
  </si>
  <si>
    <t>売電価格</t>
    <rPh sb="0" eb="2">
      <t>バイデン</t>
    </rPh>
    <rPh sb="2" eb="4">
      <t>カカク</t>
    </rPh>
    <phoneticPr fontId="17"/>
  </si>
  <si>
    <t>売電期間</t>
    <rPh sb="0" eb="2">
      <t>バイデン</t>
    </rPh>
    <rPh sb="2" eb="4">
      <t>キカン</t>
    </rPh>
    <phoneticPr fontId="17"/>
  </si>
  <si>
    <t>出力抑制なし</t>
    <rPh sb="0" eb="2">
      <t>シュツリョク</t>
    </rPh>
    <rPh sb="2" eb="4">
      <t>ヨクセイ</t>
    </rPh>
    <phoneticPr fontId="17"/>
  </si>
  <si>
    <t>出力抑制あり</t>
    <rPh sb="0" eb="2">
      <t>シュツリョク</t>
    </rPh>
    <rPh sb="2" eb="4">
      <t>ヨクセイ</t>
    </rPh>
    <phoneticPr fontId="17"/>
  </si>
  <si>
    <t>消費税率</t>
    <rPh sb="0" eb="3">
      <t>ショウヒゼイ</t>
    </rPh>
    <rPh sb="3" eb="4">
      <t>リツ</t>
    </rPh>
    <phoneticPr fontId="17"/>
  </si>
  <si>
    <t>パネル単価(税抜)</t>
    <rPh sb="3" eb="5">
      <t>タンカ</t>
    </rPh>
    <rPh sb="6" eb="8">
      <t>ゼイヌ</t>
    </rPh>
    <phoneticPr fontId="2"/>
  </si>
  <si>
    <t>ソーラーカーポート容量</t>
    <rPh sb="9" eb="11">
      <t>ヨウリョウ</t>
    </rPh>
    <phoneticPr fontId="3"/>
  </si>
  <si>
    <t>電力会社</t>
    <rPh sb="0" eb="2">
      <t>デンリョク</t>
    </rPh>
    <rPh sb="2" eb="4">
      <t>ガイシャ</t>
    </rPh>
    <phoneticPr fontId="3"/>
  </si>
  <si>
    <t>東京電力</t>
    <rPh sb="0" eb="2">
      <t>トウキョウ</t>
    </rPh>
    <rPh sb="2" eb="4">
      <t>デンリョク</t>
    </rPh>
    <phoneticPr fontId="17"/>
  </si>
  <si>
    <t>中部電力</t>
    <rPh sb="0" eb="2">
      <t>チュウブ</t>
    </rPh>
    <rPh sb="2" eb="4">
      <t>デンリョク</t>
    </rPh>
    <phoneticPr fontId="17"/>
  </si>
  <si>
    <t>関西電力</t>
    <rPh sb="0" eb="2">
      <t>カンサイ</t>
    </rPh>
    <rPh sb="2" eb="4">
      <t>デンリョク</t>
    </rPh>
    <phoneticPr fontId="17"/>
  </si>
  <si>
    <t>北海道電力</t>
    <rPh sb="0" eb="3">
      <t>ホッカイドウ</t>
    </rPh>
    <rPh sb="3" eb="5">
      <t>デンリョク</t>
    </rPh>
    <phoneticPr fontId="17"/>
  </si>
  <si>
    <t>東北電力</t>
    <rPh sb="0" eb="2">
      <t>トウホク</t>
    </rPh>
    <rPh sb="2" eb="4">
      <t>デンリョク</t>
    </rPh>
    <phoneticPr fontId="17"/>
  </si>
  <si>
    <t>北陸電力</t>
    <rPh sb="0" eb="2">
      <t>ホクリク</t>
    </rPh>
    <rPh sb="2" eb="4">
      <t>デンリョク</t>
    </rPh>
    <phoneticPr fontId="17"/>
  </si>
  <si>
    <t>中国電力</t>
    <rPh sb="0" eb="2">
      <t>チュウゴク</t>
    </rPh>
    <rPh sb="2" eb="4">
      <t>デンリョク</t>
    </rPh>
    <phoneticPr fontId="17"/>
  </si>
  <si>
    <t>四国電力</t>
    <rPh sb="0" eb="2">
      <t>シコク</t>
    </rPh>
    <rPh sb="2" eb="4">
      <t>デンリョク</t>
    </rPh>
    <phoneticPr fontId="17"/>
  </si>
  <si>
    <t>九州電力</t>
    <rPh sb="0" eb="2">
      <t>キュウシュウ</t>
    </rPh>
    <rPh sb="2" eb="4">
      <t>デンリョク</t>
    </rPh>
    <phoneticPr fontId="17"/>
  </si>
  <si>
    <t>沖縄電力</t>
    <rPh sb="0" eb="2">
      <t>オキナワ</t>
    </rPh>
    <rPh sb="2" eb="4">
      <t>デンリョク</t>
    </rPh>
    <phoneticPr fontId="17"/>
  </si>
  <si>
    <t>index</t>
    <phoneticPr fontId="17"/>
  </si>
  <si>
    <t>電力会社</t>
    <rPh sb="0" eb="2">
      <t>デンリョク</t>
    </rPh>
    <rPh sb="2" eb="4">
      <t>ガイシャ</t>
    </rPh>
    <phoneticPr fontId="17"/>
  </si>
  <si>
    <t>出力制御</t>
    <rPh sb="0" eb="2">
      <t>シュツリョク</t>
    </rPh>
    <rPh sb="2" eb="4">
      <t>セイギョ</t>
    </rPh>
    <phoneticPr fontId="17"/>
  </si>
  <si>
    <t>出力制御義務</t>
    <rPh sb="0" eb="2">
      <t>シュツリョク</t>
    </rPh>
    <rPh sb="2" eb="4">
      <t>セイギョ</t>
    </rPh>
    <rPh sb="4" eb="6">
      <t>ギム</t>
    </rPh>
    <phoneticPr fontId="17"/>
  </si>
  <si>
    <t>出力制御</t>
    <rPh sb="0" eb="2">
      <t>シュツリョク</t>
    </rPh>
    <rPh sb="2" eb="4">
      <t>セイギョ</t>
    </rPh>
    <phoneticPr fontId="3"/>
  </si>
  <si>
    <t>状態設定</t>
    <rPh sb="0" eb="2">
      <t>ジョウタイ</t>
    </rPh>
    <rPh sb="2" eb="4">
      <t>セッテイ</t>
    </rPh>
    <phoneticPr fontId="17"/>
  </si>
  <si>
    <t>全量・余剰</t>
    <rPh sb="0" eb="2">
      <t>ゼンリョウ</t>
    </rPh>
    <rPh sb="3" eb="5">
      <t>ヨジョウ</t>
    </rPh>
    <phoneticPr fontId="17"/>
  </si>
  <si>
    <t>1：全量、0:余剰</t>
    <rPh sb="2" eb="4">
      <t>ゼンリョウ</t>
    </rPh>
    <rPh sb="7" eb="9">
      <t>ヨジョウ</t>
    </rPh>
    <phoneticPr fontId="17"/>
  </si>
  <si>
    <t>年月</t>
    <rPh sb="0" eb="2">
      <t>ネンゲツ</t>
    </rPh>
    <phoneticPr fontId="17"/>
  </si>
  <si>
    <t>消費税額</t>
    <rPh sb="0" eb="3">
      <t>ショウヒゼイ</t>
    </rPh>
    <rPh sb="3" eb="4">
      <t>ガク</t>
    </rPh>
    <phoneticPr fontId="17"/>
  </si>
  <si>
    <t>ソーラーカーポート価格（税抜）</t>
    <rPh sb="9" eb="11">
      <t>カカク</t>
    </rPh>
    <rPh sb="12" eb="14">
      <t>ゼイヌ</t>
    </rPh>
    <phoneticPr fontId="3"/>
  </si>
  <si>
    <t>カーポート費用</t>
    <rPh sb="5" eb="7">
      <t>ヒヨウ</t>
    </rPh>
    <phoneticPr fontId="3"/>
  </si>
  <si>
    <t>初期費用計（税込）</t>
    <rPh sb="0" eb="2">
      <t>ショキ</t>
    </rPh>
    <rPh sb="2" eb="4">
      <t>ヒヨウ</t>
    </rPh>
    <rPh sb="4" eb="5">
      <t>ケイ</t>
    </rPh>
    <rPh sb="6" eb="8">
      <t>ゼイコ</t>
    </rPh>
    <phoneticPr fontId="3"/>
  </si>
  <si>
    <t>年</t>
    <rPh sb="0" eb="1">
      <t>ネン</t>
    </rPh>
    <phoneticPr fontId="3"/>
  </si>
  <si>
    <t>消費税</t>
    <rPh sb="0" eb="3">
      <t>ショウヒゼイ</t>
    </rPh>
    <phoneticPr fontId="17"/>
  </si>
  <si>
    <t>10kW以上</t>
    <rPh sb="4" eb="6">
      <t>イジョウ</t>
    </rPh>
    <phoneticPr fontId="17"/>
  </si>
  <si>
    <t>全量or余剰（自動設定）</t>
    <rPh sb="0" eb="2">
      <t>ゼンリョウ</t>
    </rPh>
    <rPh sb="4" eb="6">
      <t>ヨジョウ</t>
    </rPh>
    <rPh sb="7" eb="9">
      <t>ジドウ</t>
    </rPh>
    <rPh sb="9" eb="11">
      <t>セッテイ</t>
    </rPh>
    <phoneticPr fontId="3"/>
  </si>
  <si>
    <t>全量</t>
    <rPh sb="0" eb="2">
      <t>ゼンリョウ</t>
    </rPh>
    <phoneticPr fontId="17"/>
  </si>
  <si>
    <t>余剰</t>
    <rPh sb="0" eb="2">
      <t>ヨジョウ</t>
    </rPh>
    <phoneticPr fontId="17"/>
  </si>
  <si>
    <t>名称</t>
    <rPh sb="0" eb="2">
      <t>メイショウ</t>
    </rPh>
    <phoneticPr fontId="17"/>
  </si>
  <si>
    <t>日中単価</t>
    <rPh sb="0" eb="2">
      <t>ニッチュウ</t>
    </rPh>
    <rPh sb="2" eb="4">
      <t>タンカ</t>
    </rPh>
    <phoneticPr fontId="17"/>
  </si>
  <si>
    <t>売電益
(円)</t>
    <rPh sb="0" eb="2">
      <t>バイデン</t>
    </rPh>
    <rPh sb="2" eb="3">
      <t>エキ</t>
    </rPh>
    <rPh sb="5" eb="6">
      <t>エン</t>
    </rPh>
    <phoneticPr fontId="3"/>
  </si>
  <si>
    <t>売電単価列番号</t>
    <rPh sb="0" eb="2">
      <t>バイデン</t>
    </rPh>
    <rPh sb="2" eb="4">
      <t>タンカ</t>
    </rPh>
    <rPh sb="4" eb="5">
      <t>レツ</t>
    </rPh>
    <rPh sb="5" eb="7">
      <t>バンゴウ</t>
    </rPh>
    <phoneticPr fontId="17"/>
  </si>
  <si>
    <t>V2.01</t>
    <phoneticPr fontId="3"/>
  </si>
  <si>
    <t>IF(M3=1,1,2)</t>
    <phoneticPr fontId="17"/>
  </si>
  <si>
    <t>注意：発電量に関するパラメータはNEDOのデータを用いました。また、ここでの発電量は平均値を使用しているため、日照時間や気温の変化によって発電量は毎年ばらつきます。その他パラメータや条件は一条工務店の「夢発電」と同じ前提条件を使用するようにしました。データは概算が含まれています。この結果は概算を求めるものであり、結果を用いて生じたいかなる責任も負いません。</t>
    <rPh sb="0" eb="2">
      <t>チュウイ</t>
    </rPh>
    <rPh sb="129" eb="131">
      <t>ガイサン</t>
    </rPh>
    <rPh sb="132" eb="133">
      <t>フク</t>
    </rPh>
    <rPh sb="142" eb="144">
      <t>ケッカ</t>
    </rPh>
    <rPh sb="145" eb="147">
      <t>ガイサン</t>
    </rPh>
    <rPh sb="148" eb="149">
      <t>モト</t>
    </rPh>
    <rPh sb="157" eb="159">
      <t>ケッカ</t>
    </rPh>
    <rPh sb="160" eb="161">
      <t>モチ</t>
    </rPh>
    <rPh sb="163" eb="164">
      <t>ショウ</t>
    </rPh>
    <rPh sb="170" eb="172">
      <t>セキニン</t>
    </rPh>
    <rPh sb="173" eb="174">
      <t>オ</t>
    </rPh>
    <phoneticPr fontId="3"/>
  </si>
  <si>
    <t>雑所得</t>
    <rPh sb="0" eb="1">
      <t>ザツ</t>
    </rPh>
    <rPh sb="1" eb="3">
      <t>ショトク</t>
    </rPh>
    <phoneticPr fontId="3"/>
  </si>
  <si>
    <t>一条工務店：太陽光発電シミュレーション （全量・余剰両対応）</t>
    <rPh sb="0" eb="5">
      <t>イチジョウコウムテン</t>
    </rPh>
    <rPh sb="6" eb="9">
      <t>タイヨウコウ</t>
    </rPh>
    <rPh sb="9" eb="11">
      <t>ハツデン</t>
    </rPh>
    <rPh sb="21" eb="23">
      <t>ゼンリョウ</t>
    </rPh>
    <rPh sb="24" eb="26">
      <t>ヨジョウ</t>
    </rPh>
    <rPh sb="26" eb="27">
      <t>リョウ</t>
    </rPh>
    <rPh sb="27" eb="29">
      <t>タイオウ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</si>
</sst>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0.00&quot;kWh&quot;"/>
    <numFmt numFmtId="177" formatCode="0&quot;kWh&quot;"/>
    <numFmt numFmtId="178" formatCode="#,##0.0;[Red]\-#,##0.0"/>
    <numFmt numFmtId="179" formatCode="0.000%"/>
    <numFmt numFmtId="180" formatCode="0.0"/>
    <numFmt numFmtId="181" formatCode="0.0%"/>
    <numFmt numFmtId="182" formatCode="0.00&quot;kW&quot;"/>
    <numFmt numFmtId="183" formatCode="0.00\ &quot;kW&quot;"/>
    <numFmt numFmtId="184" formatCode="0\ &quot;kWh&quot;"/>
    <numFmt numFmtId="185" formatCode="0\ &quot;年&quot;"/>
    <numFmt numFmtId="186" formatCode="&quot;¥&quot;#,##0_);[Red]\(&quot;¥&quot;#,##0\)"/>
    <numFmt numFmtId="187" formatCode="0\ &quot;㎡&quot;"/>
    <numFmt numFmtId="188" formatCode="0_);\(0\)"/>
    <numFmt numFmtId="189" formatCode="0&quot;年&quot;"/>
    <numFmt numFmtId="190" formatCode="0&quot;年後&quot;"/>
    <numFmt numFmtId="191" formatCode="0.0000"/>
    <numFmt numFmtId="192" formatCode="0.00_ "/>
    <numFmt numFmtId="193" formatCode="0.0\ &quot;万円&quot;"/>
    <numFmt numFmtId="194" formatCode="0\ &quot;ヶ月&quot;"/>
    <numFmt numFmtId="195" formatCode="0.000000000000_ "/>
    <numFmt numFmtId="196" formatCode="0.0000000000000_ "/>
    <numFmt numFmtId="197" formatCode="0.0&quot;kW&quot;"/>
    <numFmt numFmtId="198" formatCode="yyyy&quot;年&quot;m&quot;月&quot;;@"/>
    <numFmt numFmtId="199" formatCode="#,##0&quot;円&quot;"/>
    <numFmt numFmtId="200" formatCode="0&quot;万円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222222"/>
      <name val="Arial"/>
      <family val="2"/>
    </font>
    <font>
      <sz val="6"/>
      <name val="ＭＳ Ｐゴシック"/>
      <family val="3"/>
      <charset val="128"/>
      <scheme val="minor"/>
    </font>
    <font>
      <b/>
      <sz val="11"/>
      <color rgb="FF006100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2" borderId="0" applyNumberFormat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38" fontId="7" fillId="0" borderId="0" xfId="4" applyFont="1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7" fillId="0" borderId="0" xfId="5">
      <alignment vertical="center"/>
    </xf>
    <xf numFmtId="9" fontId="7" fillId="0" borderId="0" xfId="5" applyNumberFormat="1">
      <alignment vertical="center"/>
    </xf>
    <xf numFmtId="10" fontId="7" fillId="0" borderId="0" xfId="5" applyNumberFormat="1">
      <alignment vertical="center"/>
    </xf>
    <xf numFmtId="179" fontId="7" fillId="0" borderId="0" xfId="5" applyNumberFormat="1">
      <alignment vertical="center"/>
    </xf>
    <xf numFmtId="0" fontId="7" fillId="0" borderId="0" xfId="5" applyFill="1">
      <alignment vertical="center"/>
    </xf>
    <xf numFmtId="9" fontId="7" fillId="0" borderId="0" xfId="5" applyNumberFormat="1" applyFill="1">
      <alignment vertical="center"/>
    </xf>
    <xf numFmtId="10" fontId="7" fillId="0" borderId="0" xfId="5" applyNumberFormat="1" applyFill="1">
      <alignment vertical="center"/>
    </xf>
    <xf numFmtId="187" fontId="0" fillId="3" borderId="1" xfId="0" applyNumberFormat="1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186" fontId="0" fillId="0" borderId="3" xfId="0" applyNumberFormat="1" applyBorder="1" applyProtection="1">
      <alignment vertical="center"/>
    </xf>
    <xf numFmtId="186" fontId="7" fillId="0" borderId="2" xfId="4" applyNumberFormat="1" applyFont="1" applyBorder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4" xfId="0" applyBorder="1" applyProtection="1">
      <alignment vertical="center"/>
    </xf>
    <xf numFmtId="186" fontId="0" fillId="0" borderId="2" xfId="0" applyNumberFormat="1" applyBorder="1" applyProtection="1">
      <alignment vertical="center"/>
    </xf>
    <xf numFmtId="0" fontId="0" fillId="4" borderId="5" xfId="0" applyFill="1" applyBorder="1" applyProtection="1">
      <alignment vertical="center"/>
    </xf>
    <xf numFmtId="189" fontId="0" fillId="0" borderId="6" xfId="0" applyNumberFormat="1" applyBorder="1" applyProtection="1">
      <alignment vertical="center"/>
    </xf>
    <xf numFmtId="2" fontId="0" fillId="0" borderId="7" xfId="0" applyNumberFormat="1" applyBorder="1" applyProtection="1">
      <alignment vertical="center"/>
    </xf>
    <xf numFmtId="38" fontId="7" fillId="0" borderId="6" xfId="4" applyFont="1" applyBorder="1" applyProtection="1">
      <alignment vertical="center"/>
    </xf>
    <xf numFmtId="38" fontId="0" fillId="0" borderId="7" xfId="0" applyNumberFormat="1" applyBorder="1" applyProtection="1">
      <alignment vertical="center"/>
    </xf>
    <xf numFmtId="38" fontId="7" fillId="0" borderId="8" xfId="4" applyFont="1" applyBorder="1" applyProtection="1">
      <alignment vertical="center"/>
    </xf>
    <xf numFmtId="38" fontId="7" fillId="0" borderId="7" xfId="4" applyFont="1" applyBorder="1" applyProtection="1">
      <alignment vertical="center"/>
    </xf>
    <xf numFmtId="188" fontId="0" fillId="0" borderId="8" xfId="0" applyNumberFormat="1" applyBorder="1" applyProtection="1">
      <alignment vertical="center"/>
    </xf>
    <xf numFmtId="188" fontId="7" fillId="0" borderId="7" xfId="4" applyNumberFormat="1" applyFont="1" applyBorder="1" applyProtection="1">
      <alignment vertical="center"/>
    </xf>
    <xf numFmtId="38" fontId="0" fillId="0" borderId="6" xfId="0" applyNumberFormat="1" applyBorder="1" applyProtection="1">
      <alignment vertical="center"/>
    </xf>
    <xf numFmtId="0" fontId="0" fillId="4" borderId="9" xfId="0" applyFill="1" applyBorder="1" applyProtection="1">
      <alignment vertical="center"/>
    </xf>
    <xf numFmtId="189" fontId="0" fillId="0" borderId="10" xfId="0" applyNumberFormat="1" applyBorder="1" applyProtection="1">
      <alignment vertical="center"/>
    </xf>
    <xf numFmtId="2" fontId="0" fillId="0" borderId="2" xfId="0" applyNumberFormat="1" applyBorder="1" applyProtection="1">
      <alignment vertical="center"/>
    </xf>
    <xf numFmtId="38" fontId="7" fillId="0" borderId="10" xfId="4" applyFont="1" applyBorder="1" applyProtection="1">
      <alignment vertical="center"/>
    </xf>
    <xf numFmtId="38" fontId="0" fillId="0" borderId="2" xfId="0" applyNumberFormat="1" applyBorder="1" applyProtection="1">
      <alignment vertical="center"/>
    </xf>
    <xf numFmtId="38" fontId="7" fillId="0" borderId="9" xfId="4" applyFont="1" applyBorder="1" applyProtection="1">
      <alignment vertical="center"/>
    </xf>
    <xf numFmtId="38" fontId="7" fillId="0" borderId="2" xfId="4" applyFont="1" applyBorder="1" applyProtection="1">
      <alignment vertical="center"/>
    </xf>
    <xf numFmtId="188" fontId="0" fillId="0" borderId="9" xfId="0" applyNumberFormat="1" applyBorder="1" applyProtection="1">
      <alignment vertical="center"/>
    </xf>
    <xf numFmtId="188" fontId="7" fillId="0" borderId="2" xfId="4" applyNumberFormat="1" applyFont="1" applyBorder="1" applyProtection="1">
      <alignment vertical="center"/>
    </xf>
    <xf numFmtId="38" fontId="0" fillId="0" borderId="10" xfId="0" applyNumberFormat="1" applyBorder="1" applyProtection="1">
      <alignment vertical="center"/>
    </xf>
    <xf numFmtId="186" fontId="7" fillId="0" borderId="11" xfId="4" applyNumberFormat="1" applyFont="1" applyBorder="1" applyProtection="1">
      <alignment vertical="center"/>
    </xf>
    <xf numFmtId="189" fontId="0" fillId="5" borderId="10" xfId="0" applyNumberFormat="1" applyFill="1" applyBorder="1" applyProtection="1">
      <alignment vertical="center"/>
    </xf>
    <xf numFmtId="2" fontId="0" fillId="5" borderId="2" xfId="0" applyNumberFormat="1" applyFill="1" applyBorder="1" applyProtection="1">
      <alignment vertical="center"/>
    </xf>
    <xf numFmtId="38" fontId="7" fillId="5" borderId="10" xfId="4" applyFont="1" applyFill="1" applyBorder="1" applyProtection="1">
      <alignment vertical="center"/>
    </xf>
    <xf numFmtId="38" fontId="0" fillId="5" borderId="2" xfId="0" applyNumberFormat="1" applyFill="1" applyBorder="1" applyProtection="1">
      <alignment vertical="center"/>
    </xf>
    <xf numFmtId="38" fontId="7" fillId="5" borderId="9" xfId="4" applyFont="1" applyFill="1" applyBorder="1" applyProtection="1">
      <alignment vertical="center"/>
    </xf>
    <xf numFmtId="38" fontId="7" fillId="5" borderId="2" xfId="4" applyFont="1" applyFill="1" applyBorder="1" applyProtection="1">
      <alignment vertical="center"/>
    </xf>
    <xf numFmtId="188" fontId="0" fillId="5" borderId="9" xfId="0" applyNumberFormat="1" applyFill="1" applyBorder="1" applyProtection="1">
      <alignment vertical="center"/>
    </xf>
    <xf numFmtId="188" fontId="7" fillId="5" borderId="2" xfId="4" applyNumberFormat="1" applyFont="1" applyFill="1" applyBorder="1" applyProtection="1">
      <alignment vertical="center"/>
    </xf>
    <xf numFmtId="38" fontId="0" fillId="5" borderId="10" xfId="0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12" xfId="0" applyBorder="1" applyProtection="1">
      <alignment vertical="center"/>
    </xf>
    <xf numFmtId="38" fontId="7" fillId="0" borderId="3" xfId="4" applyFont="1" applyBorder="1" applyProtection="1">
      <alignment vertical="center"/>
    </xf>
    <xf numFmtId="186" fontId="0" fillId="0" borderId="0" xfId="0" applyNumberFormat="1" applyProtection="1">
      <alignment vertical="center"/>
    </xf>
    <xf numFmtId="38" fontId="7" fillId="0" borderId="4" xfId="4" applyFont="1" applyBorder="1" applyProtection="1">
      <alignment vertical="center"/>
    </xf>
    <xf numFmtId="189" fontId="0" fillId="6" borderId="10" xfId="0" applyNumberFormat="1" applyFill="1" applyBorder="1" applyProtection="1">
      <alignment vertical="center"/>
    </xf>
    <xf numFmtId="2" fontId="0" fillId="6" borderId="2" xfId="0" applyNumberFormat="1" applyFill="1" applyBorder="1" applyProtection="1">
      <alignment vertical="center"/>
    </xf>
    <xf numFmtId="38" fontId="7" fillId="6" borderId="10" xfId="4" applyFont="1" applyFill="1" applyBorder="1" applyProtection="1">
      <alignment vertical="center"/>
    </xf>
    <xf numFmtId="38" fontId="0" fillId="6" borderId="2" xfId="0" applyNumberFormat="1" applyFill="1" applyBorder="1" applyProtection="1">
      <alignment vertical="center"/>
    </xf>
    <xf numFmtId="38" fontId="7" fillId="6" borderId="9" xfId="4" applyFont="1" applyFill="1" applyBorder="1" applyProtection="1">
      <alignment vertical="center"/>
    </xf>
    <xf numFmtId="38" fontId="7" fillId="6" borderId="2" xfId="4" applyFont="1" applyFill="1" applyBorder="1" applyProtection="1">
      <alignment vertical="center"/>
    </xf>
    <xf numFmtId="188" fontId="0" fillId="6" borderId="9" xfId="0" applyNumberFormat="1" applyFill="1" applyBorder="1" applyProtection="1">
      <alignment vertical="center"/>
    </xf>
    <xf numFmtId="188" fontId="7" fillId="6" borderId="2" xfId="4" applyNumberFormat="1" applyFont="1" applyFill="1" applyBorder="1" applyProtection="1">
      <alignment vertical="center"/>
    </xf>
    <xf numFmtId="38" fontId="0" fillId="6" borderId="10" xfId="0" applyNumberFormat="1" applyFill="1" applyBorder="1" applyProtection="1">
      <alignment vertical="center"/>
    </xf>
    <xf numFmtId="0" fontId="0" fillId="4" borderId="1" xfId="0" applyFill="1" applyBorder="1" applyProtection="1">
      <alignment vertical="center"/>
    </xf>
    <xf numFmtId="38" fontId="0" fillId="0" borderId="3" xfId="0" applyNumberFormat="1" applyBorder="1" applyProtection="1">
      <alignment vertical="center"/>
    </xf>
    <xf numFmtId="10" fontId="0" fillId="4" borderId="2" xfId="0" applyNumberFormat="1" applyFill="1" applyBorder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8" xfId="0" applyBorder="1" applyAlignment="1" applyProtection="1">
      <alignment horizontal="center" vertical="center" textRotation="255"/>
    </xf>
    <xf numFmtId="186" fontId="0" fillId="3" borderId="4" xfId="0" applyNumberFormat="1" applyFill="1" applyBorder="1" applyProtection="1">
      <alignment vertical="center"/>
      <protection locked="0"/>
    </xf>
    <xf numFmtId="38" fontId="7" fillId="0" borderId="0" xfId="4" applyFill="1">
      <alignment vertical="center"/>
    </xf>
    <xf numFmtId="9" fontId="7" fillId="0" borderId="0" xfId="1" applyFont="1">
      <alignment vertical="center"/>
    </xf>
    <xf numFmtId="0" fontId="7" fillId="0" borderId="0" xfId="5" applyFont="1">
      <alignment vertical="center"/>
    </xf>
    <xf numFmtId="0" fontId="14" fillId="4" borderId="3" xfId="0" applyFont="1" applyFill="1" applyBorder="1" applyProtection="1">
      <alignment vertical="center"/>
      <protection locked="0"/>
    </xf>
    <xf numFmtId="0" fontId="14" fillId="4" borderId="4" xfId="0" applyFont="1" applyFill="1" applyBorder="1" applyProtection="1">
      <alignment vertical="center"/>
      <protection locked="0"/>
    </xf>
    <xf numFmtId="0" fontId="9" fillId="0" borderId="0" xfId="3" applyAlignment="1" applyProtection="1">
      <alignment vertical="center"/>
    </xf>
    <xf numFmtId="0" fontId="0" fillId="4" borderId="3" xfId="0" applyFill="1" applyBorder="1" applyProtection="1">
      <alignment vertical="center"/>
      <protection locked="0"/>
    </xf>
    <xf numFmtId="2" fontId="0" fillId="0" borderId="0" xfId="0" applyNumberFormat="1">
      <alignment vertical="center"/>
    </xf>
    <xf numFmtId="38" fontId="0" fillId="0" borderId="0" xfId="0" applyNumberFormat="1" applyProtection="1">
      <alignment vertical="center"/>
    </xf>
    <xf numFmtId="38" fontId="7" fillId="0" borderId="4" xfId="4" applyFont="1" applyBorder="1" applyAlignment="1" applyProtection="1">
      <alignment vertical="center"/>
    </xf>
    <xf numFmtId="38" fontId="7" fillId="0" borderId="19" xfId="4" applyFont="1" applyBorder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38" fontId="7" fillId="0" borderId="0" xfId="4" applyFont="1">
      <alignment vertical="center"/>
    </xf>
    <xf numFmtId="191" fontId="0" fillId="0" borderId="0" xfId="0" applyNumberFormat="1">
      <alignment vertical="center"/>
    </xf>
    <xf numFmtId="0" fontId="7" fillId="0" borderId="0" xfId="5" applyFont="1">
      <alignment vertical="center"/>
    </xf>
    <xf numFmtId="38" fontId="7" fillId="0" borderId="20" xfId="4" applyFont="1" applyBorder="1" applyProtection="1">
      <alignment vertical="center"/>
    </xf>
    <xf numFmtId="38" fontId="7" fillId="0" borderId="21" xfId="4" applyFont="1" applyBorder="1" applyProtection="1">
      <alignment vertical="center"/>
    </xf>
    <xf numFmtId="38" fontId="7" fillId="5" borderId="21" xfId="4" applyFont="1" applyFill="1" applyBorder="1" applyProtection="1">
      <alignment vertical="center"/>
    </xf>
    <xf numFmtId="38" fontId="7" fillId="6" borderId="21" xfId="4" applyFont="1" applyFill="1" applyBorder="1" applyProtection="1">
      <alignment vertical="center"/>
    </xf>
    <xf numFmtId="38" fontId="7" fillId="0" borderId="0" xfId="4" applyFont="1" applyProtection="1">
      <alignment vertical="center"/>
    </xf>
    <xf numFmtId="0" fontId="16" fillId="0" borderId="0" xfId="0" applyFont="1">
      <alignment vertical="center"/>
    </xf>
    <xf numFmtId="11" fontId="0" fillId="0" borderId="0" xfId="0" applyNumberFormat="1">
      <alignment vertical="center"/>
    </xf>
    <xf numFmtId="38" fontId="7" fillId="0" borderId="0" xfId="4" applyFont="1" applyProtection="1">
      <alignment vertical="center"/>
    </xf>
    <xf numFmtId="38" fontId="16" fillId="0" borderId="0" xfId="4" applyFont="1">
      <alignment vertical="center"/>
    </xf>
    <xf numFmtId="185" fontId="0" fillId="3" borderId="23" xfId="0" applyNumberFormat="1" applyFill="1" applyBorder="1" applyAlignment="1" applyProtection="1">
      <alignment horizontal="center" vertical="center"/>
      <protection locked="0"/>
    </xf>
    <xf numFmtId="194" fontId="0" fillId="3" borderId="1" xfId="0" applyNumberFormat="1" applyFill="1" applyBorder="1" applyAlignment="1" applyProtection="1">
      <alignment horizontal="center" vertical="center"/>
      <protection locked="0"/>
    </xf>
    <xf numFmtId="192" fontId="0" fillId="0" borderId="0" xfId="0" applyNumberFormat="1" applyAlignment="1" applyProtection="1">
      <alignment vertical="center"/>
    </xf>
    <xf numFmtId="186" fontId="0" fillId="0" borderId="2" xfId="0" applyNumberFormat="1" applyFill="1" applyBorder="1" applyProtection="1">
      <alignment vertical="center"/>
    </xf>
    <xf numFmtId="2" fontId="0" fillId="0" borderId="0" xfId="0" applyNumberFormat="1" applyProtection="1">
      <alignment vertical="center"/>
    </xf>
    <xf numFmtId="180" fontId="0" fillId="0" borderId="0" xfId="0" applyNumberFormat="1" applyProtection="1">
      <alignment vertical="center"/>
    </xf>
    <xf numFmtId="38" fontId="7" fillId="0" borderId="0" xfId="4" applyFont="1" applyProtection="1">
      <alignment vertical="center"/>
    </xf>
    <xf numFmtId="2" fontId="7" fillId="0" borderId="0" xfId="4" applyNumberFormat="1" applyFont="1" applyProtection="1">
      <alignment vertical="center"/>
    </xf>
    <xf numFmtId="38" fontId="16" fillId="0" borderId="0" xfId="4" applyFont="1" applyProtection="1">
      <alignment vertical="center"/>
    </xf>
    <xf numFmtId="195" fontId="16" fillId="0" borderId="0" xfId="0" applyNumberFormat="1" applyFont="1">
      <alignment vertical="center"/>
    </xf>
    <xf numFmtId="196" fontId="0" fillId="0" borderId="0" xfId="0" applyNumberFormat="1" applyProtection="1">
      <alignment vertical="center"/>
    </xf>
    <xf numFmtId="0" fontId="8" fillId="7" borderId="24" xfId="0" applyFont="1" applyFill="1" applyBorder="1" applyAlignment="1" applyProtection="1">
      <alignment horizontal="center" vertical="center"/>
    </xf>
    <xf numFmtId="178" fontId="7" fillId="0" borderId="0" xfId="4" applyNumberFormat="1" applyFont="1" applyBorder="1" applyAlignment="1" applyProtection="1">
      <alignment horizontal="right" vertical="center"/>
    </xf>
    <xf numFmtId="10" fontId="7" fillId="0" borderId="0" xfId="1" applyNumberFormat="1" applyFont="1" applyBorder="1" applyAlignment="1" applyProtection="1">
      <alignment horizontal="right" vertical="center"/>
    </xf>
    <xf numFmtId="38" fontId="7" fillId="0" borderId="0" xfId="4" applyFont="1" applyBorder="1" applyProtection="1">
      <alignment vertical="center"/>
    </xf>
    <xf numFmtId="0" fontId="0" fillId="0" borderId="25" xfId="0" applyBorder="1" applyProtection="1">
      <alignment vertical="center"/>
    </xf>
    <xf numFmtId="38" fontId="0" fillId="0" borderId="25" xfId="0" applyNumberFormat="1" applyBorder="1" applyProtection="1">
      <alignment vertical="center"/>
    </xf>
    <xf numFmtId="0" fontId="7" fillId="0" borderId="0" xfId="5" applyFont="1" applyFill="1">
      <alignment vertical="center"/>
    </xf>
    <xf numFmtId="38" fontId="7" fillId="0" borderId="26" xfId="4" applyFont="1" applyBorder="1" applyProtection="1">
      <alignment vertical="center"/>
    </xf>
    <xf numFmtId="38" fontId="7" fillId="0" borderId="27" xfId="4" applyFont="1" applyBorder="1" applyProtection="1">
      <alignment vertical="center"/>
    </xf>
    <xf numFmtId="38" fontId="7" fillId="0" borderId="28" xfId="4" applyFont="1" applyBorder="1" applyProtection="1">
      <alignment vertical="center"/>
    </xf>
    <xf numFmtId="38" fontId="7" fillId="0" borderId="3" xfId="4" applyFont="1" applyFill="1" applyBorder="1" applyAlignment="1" applyProtection="1">
      <alignment vertical="center"/>
    </xf>
    <xf numFmtId="38" fontId="7" fillId="0" borderId="0" xfId="4" applyFont="1" applyProtection="1">
      <alignment vertical="center"/>
    </xf>
    <xf numFmtId="181" fontId="0" fillId="0" borderId="7" xfId="0" applyNumberFormat="1" applyBorder="1" applyProtection="1">
      <alignment vertical="center"/>
    </xf>
    <xf numFmtId="181" fontId="0" fillId="0" borderId="2" xfId="0" applyNumberFormat="1" applyBorder="1" applyProtection="1">
      <alignment vertical="center"/>
    </xf>
    <xf numFmtId="181" fontId="0" fillId="0" borderId="4" xfId="0" applyNumberFormat="1" applyBorder="1" applyProtection="1">
      <alignment vertical="center"/>
    </xf>
    <xf numFmtId="9" fontId="7" fillId="0" borderId="30" xfId="1" applyFont="1" applyBorder="1" applyProtection="1">
      <alignment vertical="center"/>
    </xf>
    <xf numFmtId="9" fontId="7" fillId="0" borderId="31" xfId="1" applyFont="1" applyBorder="1" applyProtection="1">
      <alignment vertical="center"/>
    </xf>
    <xf numFmtId="9" fontId="7" fillId="5" borderId="31" xfId="1" applyFont="1" applyFill="1" applyBorder="1" applyProtection="1">
      <alignment vertical="center"/>
    </xf>
    <xf numFmtId="9" fontId="7" fillId="6" borderId="31" xfId="1" applyFont="1" applyFill="1" applyBorder="1" applyProtection="1">
      <alignment vertical="center"/>
    </xf>
    <xf numFmtId="9" fontId="7" fillId="0" borderId="0" xfId="1" applyFill="1" applyBorder="1" applyAlignment="1" applyProtection="1">
      <alignment horizontal="right" vertical="center"/>
      <protection locked="0"/>
    </xf>
    <xf numFmtId="14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178" fontId="0" fillId="0" borderId="0" xfId="4" applyNumberFormat="1" applyFont="1">
      <alignment vertical="center"/>
    </xf>
    <xf numFmtId="40" fontId="0" fillId="0" borderId="0" xfId="4" applyNumberFormat="1" applyFont="1">
      <alignment vertical="center"/>
    </xf>
    <xf numFmtId="189" fontId="18" fillId="2" borderId="10" xfId="6" applyNumberFormat="1" applyFont="1" applyBorder="1" applyProtection="1">
      <alignment vertical="center"/>
    </xf>
    <xf numFmtId="2" fontId="18" fillId="2" borderId="2" xfId="6" applyNumberFormat="1" applyFont="1" applyBorder="1" applyProtection="1">
      <alignment vertical="center"/>
    </xf>
    <xf numFmtId="9" fontId="18" fillId="2" borderId="31" xfId="6" applyNumberFormat="1" applyFont="1" applyBorder="1" applyProtection="1">
      <alignment vertical="center"/>
    </xf>
    <xf numFmtId="38" fontId="18" fillId="2" borderId="10" xfId="6" applyNumberFormat="1" applyFont="1" applyBorder="1" applyProtection="1">
      <alignment vertical="center"/>
    </xf>
    <xf numFmtId="38" fontId="18" fillId="2" borderId="9" xfId="6" applyNumberFormat="1" applyFont="1" applyBorder="1" applyProtection="1">
      <alignment vertical="center"/>
    </xf>
    <xf numFmtId="38" fontId="18" fillId="2" borderId="2" xfId="6" applyNumberFormat="1" applyFont="1" applyBorder="1" applyProtection="1">
      <alignment vertical="center"/>
    </xf>
    <xf numFmtId="188" fontId="18" fillId="2" borderId="9" xfId="6" applyNumberFormat="1" applyFont="1" applyBorder="1" applyProtection="1">
      <alignment vertical="center"/>
    </xf>
    <xf numFmtId="38" fontId="18" fillId="2" borderId="21" xfId="6" applyNumberFormat="1" applyFont="1" applyBorder="1" applyProtection="1">
      <alignment vertical="center"/>
    </xf>
    <xf numFmtId="188" fontId="18" fillId="2" borderId="2" xfId="6" applyNumberFormat="1" applyFont="1" applyBorder="1" applyProtection="1">
      <alignment vertical="center"/>
    </xf>
    <xf numFmtId="189" fontId="14" fillId="5" borderId="10" xfId="0" applyNumberFormat="1" applyFont="1" applyFill="1" applyBorder="1" applyProtection="1">
      <alignment vertical="center"/>
    </xf>
    <xf numFmtId="2" fontId="14" fillId="5" borderId="2" xfId="0" applyNumberFormat="1" applyFont="1" applyFill="1" applyBorder="1" applyProtection="1">
      <alignment vertical="center"/>
    </xf>
    <xf numFmtId="9" fontId="14" fillId="5" borderId="31" xfId="1" applyFont="1" applyFill="1" applyBorder="1" applyProtection="1">
      <alignment vertical="center"/>
    </xf>
    <xf numFmtId="38" fontId="14" fillId="5" borderId="10" xfId="4" applyFont="1" applyFill="1" applyBorder="1" applyProtection="1">
      <alignment vertical="center"/>
    </xf>
    <xf numFmtId="38" fontId="14" fillId="5" borderId="9" xfId="4" applyFont="1" applyFill="1" applyBorder="1" applyProtection="1">
      <alignment vertical="center"/>
    </xf>
    <xf numFmtId="38" fontId="14" fillId="5" borderId="2" xfId="4" applyFont="1" applyFill="1" applyBorder="1" applyProtection="1">
      <alignment vertical="center"/>
    </xf>
    <xf numFmtId="188" fontId="14" fillId="5" borderId="9" xfId="0" applyNumberFormat="1" applyFont="1" applyFill="1" applyBorder="1" applyProtection="1">
      <alignment vertical="center"/>
    </xf>
    <xf numFmtId="38" fontId="14" fillId="5" borderId="21" xfId="4" applyFont="1" applyFill="1" applyBorder="1" applyProtection="1">
      <alignment vertical="center"/>
    </xf>
    <xf numFmtId="188" fontId="14" fillId="5" borderId="2" xfId="4" applyNumberFormat="1" applyFont="1" applyFill="1" applyBorder="1" applyProtection="1">
      <alignment vertical="center"/>
    </xf>
    <xf numFmtId="38" fontId="14" fillId="5" borderId="10" xfId="0" applyNumberFormat="1" applyFont="1" applyFill="1" applyBorder="1" applyProtection="1">
      <alignment vertical="center"/>
    </xf>
    <xf numFmtId="38" fontId="14" fillId="5" borderId="2" xfId="0" applyNumberFormat="1" applyFont="1" applyFill="1" applyBorder="1" applyProtection="1">
      <alignment vertical="center"/>
    </xf>
    <xf numFmtId="189" fontId="14" fillId="6" borderId="17" xfId="0" applyNumberFormat="1" applyFont="1" applyFill="1" applyBorder="1" applyProtection="1">
      <alignment vertical="center"/>
    </xf>
    <xf numFmtId="2" fontId="14" fillId="6" borderId="4" xfId="0" applyNumberFormat="1" applyFont="1" applyFill="1" applyBorder="1" applyProtection="1">
      <alignment vertical="center"/>
    </xf>
    <xf numFmtId="9" fontId="14" fillId="6" borderId="32" xfId="1" applyFont="1" applyFill="1" applyBorder="1" applyProtection="1">
      <alignment vertical="center"/>
    </xf>
    <xf numFmtId="38" fontId="14" fillId="6" borderId="17" xfId="4" applyFont="1" applyFill="1" applyBorder="1" applyProtection="1">
      <alignment vertical="center"/>
    </xf>
    <xf numFmtId="38" fontId="14" fillId="6" borderId="12" xfId="4" applyFont="1" applyFill="1" applyBorder="1" applyProtection="1">
      <alignment vertical="center"/>
    </xf>
    <xf numFmtId="38" fontId="14" fillId="6" borderId="4" xfId="4" applyFont="1" applyFill="1" applyBorder="1" applyProtection="1">
      <alignment vertical="center"/>
    </xf>
    <xf numFmtId="188" fontId="14" fillId="6" borderId="12" xfId="0" applyNumberFormat="1" applyFont="1" applyFill="1" applyBorder="1" applyProtection="1">
      <alignment vertical="center"/>
    </xf>
    <xf numFmtId="38" fontId="14" fillId="6" borderId="22" xfId="4" applyFont="1" applyFill="1" applyBorder="1" applyProtection="1">
      <alignment vertical="center"/>
    </xf>
    <xf numFmtId="188" fontId="14" fillId="6" borderId="4" xfId="4" applyNumberFormat="1" applyFont="1" applyFill="1" applyBorder="1" applyProtection="1">
      <alignment vertical="center"/>
    </xf>
    <xf numFmtId="38" fontId="14" fillId="6" borderId="17" xfId="0" applyNumberFormat="1" applyFont="1" applyFill="1" applyBorder="1" applyProtection="1">
      <alignment vertical="center"/>
    </xf>
    <xf numFmtId="38" fontId="14" fillId="6" borderId="4" xfId="0" applyNumberFormat="1" applyFont="1" applyFill="1" applyBorder="1" applyProtection="1">
      <alignment vertical="center"/>
    </xf>
    <xf numFmtId="189" fontId="19" fillId="0" borderId="10" xfId="0" applyNumberFormat="1" applyFont="1" applyBorder="1" applyProtection="1">
      <alignment vertical="center"/>
    </xf>
    <xf numFmtId="2" fontId="19" fillId="0" borderId="2" xfId="0" applyNumberFormat="1" applyFont="1" applyBorder="1" applyProtection="1">
      <alignment vertical="center"/>
    </xf>
    <xf numFmtId="9" fontId="19" fillId="0" borderId="31" xfId="1" applyFont="1" applyBorder="1" applyProtection="1">
      <alignment vertical="center"/>
    </xf>
    <xf numFmtId="38" fontId="19" fillId="0" borderId="10" xfId="4" applyFont="1" applyBorder="1" applyProtection="1">
      <alignment vertical="center"/>
    </xf>
    <xf numFmtId="38" fontId="19" fillId="0" borderId="9" xfId="4" applyFont="1" applyBorder="1" applyProtection="1">
      <alignment vertical="center"/>
    </xf>
    <xf numFmtId="38" fontId="19" fillId="0" borderId="2" xfId="4" applyFont="1" applyBorder="1" applyProtection="1">
      <alignment vertical="center"/>
    </xf>
    <xf numFmtId="188" fontId="19" fillId="0" borderId="9" xfId="0" applyNumberFormat="1" applyFont="1" applyBorder="1" applyProtection="1">
      <alignment vertical="center"/>
    </xf>
    <xf numFmtId="38" fontId="19" fillId="0" borderId="21" xfId="4" applyFont="1" applyBorder="1" applyProtection="1">
      <alignment vertical="center"/>
    </xf>
    <xf numFmtId="188" fontId="19" fillId="0" borderId="2" xfId="4" applyNumberFormat="1" applyFont="1" applyBorder="1" applyProtection="1">
      <alignment vertical="center"/>
    </xf>
    <xf numFmtId="38" fontId="19" fillId="0" borderId="10" xfId="0" applyNumberFormat="1" applyFont="1" applyBorder="1" applyProtection="1">
      <alignment vertical="center"/>
    </xf>
    <xf numFmtId="38" fontId="19" fillId="0" borderId="2" xfId="0" applyNumberFormat="1" applyFont="1" applyBorder="1" applyProtection="1">
      <alignment vertical="center"/>
    </xf>
    <xf numFmtId="0" fontId="0" fillId="4" borderId="0" xfId="0" applyFill="1">
      <alignment vertical="center"/>
    </xf>
    <xf numFmtId="200" fontId="0" fillId="3" borderId="29" xfId="0" applyNumberFormat="1" applyFill="1" applyBorder="1" applyProtection="1">
      <alignment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0" fillId="3" borderId="46" xfId="0" applyFill="1" applyBorder="1" applyAlignment="1" applyProtection="1">
      <alignment horizontal="center" vertical="center"/>
    </xf>
    <xf numFmtId="0" fontId="0" fillId="3" borderId="60" xfId="0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 vertical="center"/>
    </xf>
    <xf numFmtId="198" fontId="0" fillId="3" borderId="52" xfId="0" applyNumberFormat="1" applyFill="1" applyBorder="1" applyAlignment="1" applyProtection="1">
      <alignment horizontal="center" vertical="center"/>
    </xf>
    <xf numFmtId="198" fontId="0" fillId="3" borderId="66" xfId="0" applyNumberFormat="1" applyFill="1" applyBorder="1" applyAlignment="1" applyProtection="1">
      <alignment horizontal="center" vertical="center"/>
    </xf>
    <xf numFmtId="0" fontId="0" fillId="4" borderId="10" xfId="5" applyFont="1" applyFill="1" applyBorder="1" applyAlignment="1" applyProtection="1">
      <alignment horizontal="left" vertical="center"/>
    </xf>
    <xf numFmtId="0" fontId="7" fillId="4" borderId="9" xfId="5" applyFill="1" applyBorder="1" applyAlignment="1" applyProtection="1">
      <alignment horizontal="left" vertical="center"/>
    </xf>
    <xf numFmtId="199" fontId="7" fillId="4" borderId="21" xfId="5" applyNumberFormat="1" applyFill="1" applyBorder="1" applyAlignment="1" applyProtection="1">
      <alignment horizontal="right" vertical="center"/>
    </xf>
    <xf numFmtId="199" fontId="7" fillId="4" borderId="27" xfId="5" applyNumberFormat="1" applyFill="1" applyBorder="1" applyAlignment="1" applyProtection="1">
      <alignment horizontal="right" vertical="center"/>
    </xf>
    <xf numFmtId="38" fontId="0" fillId="3" borderId="52" xfId="4" applyFont="1" applyFill="1" applyBorder="1" applyAlignment="1" applyProtection="1">
      <alignment horizontal="center" vertical="center"/>
    </xf>
    <xf numFmtId="38" fontId="0" fillId="3" borderId="66" xfId="4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5" xfId="5" applyFont="1" applyFill="1" applyBorder="1" applyAlignment="1" applyProtection="1">
      <alignment horizontal="center" vertical="center"/>
    </xf>
    <xf numFmtId="0" fontId="7" fillId="0" borderId="50" xfId="5" applyFont="1" applyFill="1" applyBorder="1" applyAlignment="1" applyProtection="1">
      <alignment horizontal="center" vertical="center"/>
    </xf>
    <xf numFmtId="38" fontId="7" fillId="0" borderId="17" xfId="4" applyFont="1" applyBorder="1" applyAlignment="1" applyProtection="1">
      <alignment horizontal="left" vertical="center"/>
    </xf>
    <xf numFmtId="38" fontId="7" fillId="0" borderId="12" xfId="4" applyFont="1" applyBorder="1" applyAlignment="1" applyProtection="1">
      <alignment horizontal="left" vertical="center"/>
    </xf>
    <xf numFmtId="38" fontId="7" fillId="0" borderId="33" xfId="4" applyFont="1" applyBorder="1" applyAlignment="1" applyProtection="1">
      <alignment horizontal="left" vertical="center"/>
    </xf>
    <xf numFmtId="38" fontId="7" fillId="0" borderId="34" xfId="4" applyFont="1" applyBorder="1" applyAlignment="1" applyProtection="1">
      <alignment horizontal="left" vertical="center"/>
    </xf>
    <xf numFmtId="0" fontId="8" fillId="8" borderId="14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38" fontId="7" fillId="0" borderId="6" xfId="4" applyFont="1" applyBorder="1" applyAlignment="1" applyProtection="1">
      <alignment horizontal="left" vertical="center"/>
    </xf>
    <xf numFmtId="38" fontId="7" fillId="0" borderId="8" xfId="4" applyFont="1" applyBorder="1" applyAlignment="1" applyProtection="1">
      <alignment horizontal="left" vertical="center"/>
    </xf>
    <xf numFmtId="0" fontId="8" fillId="12" borderId="16" xfId="0" applyFont="1" applyFill="1" applyBorder="1" applyAlignment="1" applyProtection="1">
      <alignment horizontal="center" vertical="center" wrapText="1"/>
    </xf>
    <xf numFmtId="0" fontId="8" fillId="12" borderId="29" xfId="0" applyFont="1" applyFill="1" applyBorder="1" applyAlignment="1" applyProtection="1">
      <alignment horizontal="center" vertical="center" wrapText="1"/>
    </xf>
    <xf numFmtId="0" fontId="8" fillId="12" borderId="43" xfId="0" applyFont="1" applyFill="1" applyBorder="1" applyAlignment="1" applyProtection="1">
      <alignment horizontal="center" vertical="center" wrapText="1"/>
    </xf>
    <xf numFmtId="0" fontId="8" fillId="8" borderId="36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</xf>
    <xf numFmtId="0" fontId="8" fillId="8" borderId="44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8" fillId="12" borderId="14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0" fontId="8" fillId="9" borderId="2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37" xfId="0" applyFont="1" applyFill="1" applyBorder="1" applyAlignment="1" applyProtection="1">
      <alignment horizontal="center" vertical="center" wrapText="1"/>
    </xf>
    <xf numFmtId="0" fontId="8" fillId="9" borderId="25" xfId="0" applyFont="1" applyFill="1" applyBorder="1" applyAlignment="1" applyProtection="1">
      <alignment horizontal="center" vertical="center"/>
    </xf>
    <xf numFmtId="188" fontId="8" fillId="10" borderId="38" xfId="0" applyNumberFormat="1" applyFont="1" applyFill="1" applyBorder="1" applyAlignment="1" applyProtection="1">
      <alignment horizontal="center" vertical="center" wrapText="1"/>
    </xf>
    <xf numFmtId="188" fontId="8" fillId="10" borderId="34" xfId="0" applyNumberFormat="1" applyFont="1" applyFill="1" applyBorder="1" applyAlignment="1" applyProtection="1">
      <alignment horizontal="center" vertical="center"/>
    </xf>
    <xf numFmtId="0" fontId="8" fillId="9" borderId="39" xfId="0" applyFont="1" applyFill="1" applyBorder="1" applyAlignment="1" applyProtection="1">
      <alignment horizontal="center" vertical="center" wrapText="1"/>
    </xf>
    <xf numFmtId="0" fontId="8" fillId="9" borderId="33" xfId="0" applyFont="1" applyFill="1" applyBorder="1" applyAlignment="1" applyProtection="1">
      <alignment horizontal="center" vertical="center"/>
    </xf>
    <xf numFmtId="188" fontId="8" fillId="10" borderId="40" xfId="0" applyNumberFormat="1" applyFont="1" applyFill="1" applyBorder="1" applyAlignment="1" applyProtection="1">
      <alignment horizontal="center" vertical="center"/>
    </xf>
    <xf numFmtId="188" fontId="8" fillId="10" borderId="41" xfId="0" applyNumberFormat="1" applyFont="1" applyFill="1" applyBorder="1" applyAlignment="1" applyProtection="1">
      <alignment horizontal="center" vertical="center"/>
    </xf>
    <xf numFmtId="188" fontId="8" fillId="10" borderId="42" xfId="0" applyNumberFormat="1" applyFont="1" applyFill="1" applyBorder="1" applyAlignment="1" applyProtection="1">
      <alignment horizontal="center" vertical="center"/>
    </xf>
    <xf numFmtId="0" fontId="8" fillId="11" borderId="24" xfId="0" applyFont="1" applyFill="1" applyBorder="1" applyAlignment="1" applyProtection="1">
      <alignment horizontal="center" vertical="center"/>
    </xf>
    <xf numFmtId="0" fontId="8" fillId="11" borderId="35" xfId="0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 applyProtection="1">
      <alignment horizontal="center" vertical="center" wrapText="1"/>
    </xf>
    <xf numFmtId="0" fontId="8" fillId="11" borderId="41" xfId="0" applyFont="1" applyFill="1" applyBorder="1" applyAlignment="1" applyProtection="1">
      <alignment horizontal="center" vertical="center" wrapText="1"/>
    </xf>
    <xf numFmtId="0" fontId="8" fillId="11" borderId="42" xfId="0" applyFont="1" applyFill="1" applyBorder="1" applyAlignment="1" applyProtection="1">
      <alignment horizontal="center" vertical="center" wrapText="1"/>
    </xf>
    <xf numFmtId="0" fontId="8" fillId="10" borderId="24" xfId="0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188" fontId="8" fillId="10" borderId="40" xfId="0" applyNumberFormat="1" applyFont="1" applyFill="1" applyBorder="1" applyAlignment="1" applyProtection="1">
      <alignment horizontal="center" vertical="center" wrapText="1"/>
    </xf>
    <xf numFmtId="188" fontId="8" fillId="10" borderId="41" xfId="0" applyNumberFormat="1" applyFont="1" applyFill="1" applyBorder="1" applyAlignment="1" applyProtection="1">
      <alignment horizontal="center" vertical="center" wrapText="1"/>
    </xf>
    <xf numFmtId="188" fontId="8" fillId="10" borderId="42" xfId="0" applyNumberFormat="1" applyFont="1" applyFill="1" applyBorder="1" applyAlignment="1" applyProtection="1">
      <alignment horizontal="center" vertical="center" wrapText="1"/>
    </xf>
    <xf numFmtId="188" fontId="8" fillId="10" borderId="37" xfId="0" applyNumberFormat="1" applyFont="1" applyFill="1" applyBorder="1" applyAlignment="1" applyProtection="1">
      <alignment horizontal="center" vertical="center" wrapText="1"/>
    </xf>
    <xf numFmtId="188" fontId="8" fillId="10" borderId="25" xfId="0" applyNumberFormat="1" applyFont="1" applyFill="1" applyBorder="1" applyAlignment="1" applyProtection="1">
      <alignment horizontal="center" vertical="center"/>
    </xf>
    <xf numFmtId="188" fontId="8" fillId="10" borderId="39" xfId="0" applyNumberFormat="1" applyFont="1" applyFill="1" applyBorder="1" applyAlignment="1" applyProtection="1">
      <alignment horizontal="center" vertical="center" wrapText="1"/>
    </xf>
    <xf numFmtId="188" fontId="8" fillId="10" borderId="33" xfId="0" applyNumberFormat="1" applyFont="1" applyFill="1" applyBorder="1" applyAlignment="1" applyProtection="1">
      <alignment horizontal="center" vertical="center" wrapText="1"/>
    </xf>
    <xf numFmtId="0" fontId="8" fillId="11" borderId="37" xfId="0" applyFont="1" applyFill="1" applyBorder="1" applyAlignment="1" applyProtection="1">
      <alignment horizontal="center" vertical="center" wrapText="1"/>
    </xf>
    <xf numFmtId="0" fontId="8" fillId="11" borderId="25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0" fillId="3" borderId="45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0" fillId="6" borderId="47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199" fontId="7" fillId="3" borderId="21" xfId="5" applyNumberFormat="1" applyFill="1" applyBorder="1" applyAlignment="1" applyProtection="1">
      <alignment horizontal="right" vertical="center"/>
    </xf>
    <xf numFmtId="199" fontId="7" fillId="3" borderId="27" xfId="5" applyNumberFormat="1" applyFill="1" applyBorder="1" applyAlignment="1" applyProtection="1">
      <alignment horizontal="right" vertical="center"/>
    </xf>
    <xf numFmtId="0" fontId="7" fillId="4" borderId="24" xfId="5" applyFill="1" applyBorder="1" applyAlignment="1" applyProtection="1">
      <alignment horizontal="center" vertical="center"/>
    </xf>
    <xf numFmtId="0" fontId="7" fillId="4" borderId="50" xfId="5" applyFill="1" applyBorder="1" applyAlignment="1" applyProtection="1">
      <alignment horizontal="center" vertical="center"/>
    </xf>
    <xf numFmtId="0" fontId="8" fillId="8" borderId="24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178" fontId="0" fillId="4" borderId="22" xfId="4" applyNumberFormat="1" applyFont="1" applyFill="1" applyBorder="1" applyAlignment="1" applyProtection="1">
      <alignment horizontal="right" vertical="center"/>
      <protection locked="0"/>
    </xf>
    <xf numFmtId="178" fontId="0" fillId="4" borderId="28" xfId="4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7" fillId="3" borderId="51" xfId="5" applyFont="1" applyFill="1" applyBorder="1" applyAlignment="1" applyProtection="1">
      <alignment horizontal="center" vertical="center"/>
    </xf>
    <xf numFmtId="0" fontId="7" fillId="3" borderId="52" xfId="5" applyFont="1" applyFill="1" applyBorder="1" applyAlignment="1" applyProtection="1">
      <alignment horizontal="center" vertical="center"/>
    </xf>
    <xf numFmtId="183" fontId="7" fillId="3" borderId="21" xfId="5" applyNumberFormat="1" applyFill="1" applyBorder="1" applyAlignment="1" applyProtection="1">
      <alignment horizontal="right" vertical="center"/>
      <protection locked="0"/>
    </xf>
    <xf numFmtId="183" fontId="7" fillId="3" borderId="27" xfId="5" applyNumberFormat="1" applyFill="1" applyBorder="1" applyAlignment="1" applyProtection="1">
      <alignment horizontal="right" vertical="center"/>
      <protection locked="0"/>
    </xf>
    <xf numFmtId="0" fontId="0" fillId="4" borderId="54" xfId="0" applyFill="1" applyBorder="1" applyAlignment="1" applyProtection="1">
      <alignment horizontal="center" vertical="center"/>
    </xf>
    <xf numFmtId="0" fontId="7" fillId="4" borderId="61" xfId="5" applyFont="1" applyFill="1" applyBorder="1" applyAlignment="1" applyProtection="1">
      <alignment horizontal="left" vertical="center"/>
    </xf>
    <xf numFmtId="0" fontId="7" fillId="4" borderId="62" xfId="5" applyFont="1" applyFill="1" applyBorder="1" applyAlignment="1" applyProtection="1">
      <alignment horizontal="left" vertical="center"/>
    </xf>
    <xf numFmtId="0" fontId="7" fillId="0" borderId="24" xfId="5" applyFont="1" applyFill="1" applyBorder="1" applyAlignment="1" applyProtection="1">
      <alignment horizontal="center" vertical="center"/>
    </xf>
    <xf numFmtId="0" fontId="7" fillId="0" borderId="35" xfId="5" applyFon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8" fontId="7" fillId="4" borderId="21" xfId="4" applyFill="1" applyBorder="1" applyAlignment="1" applyProtection="1">
      <alignment horizontal="right" vertical="center"/>
      <protection locked="0"/>
    </xf>
    <xf numFmtId="38" fontId="7" fillId="4" borderId="27" xfId="4" applyFill="1" applyBorder="1" applyAlignment="1" applyProtection="1">
      <alignment horizontal="right" vertical="center"/>
      <protection locked="0"/>
    </xf>
    <xf numFmtId="0" fontId="0" fillId="4" borderId="21" xfId="0" applyFill="1" applyBorder="1" applyAlignment="1" applyProtection="1">
      <alignment horizontal="right" vertical="center"/>
      <protection locked="0"/>
    </xf>
    <xf numFmtId="0" fontId="0" fillId="4" borderId="27" xfId="0" applyFill="1" applyBorder="1" applyAlignment="1" applyProtection="1">
      <alignment horizontal="right" vertical="center"/>
      <protection locked="0"/>
    </xf>
    <xf numFmtId="190" fontId="0" fillId="0" borderId="0" xfId="0" applyNumberFormat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10" fontId="0" fillId="4" borderId="64" xfId="0" applyNumberFormat="1" applyFill="1" applyBorder="1" applyAlignment="1" applyProtection="1">
      <alignment horizontal="right" vertical="center"/>
      <protection locked="0"/>
    </xf>
    <xf numFmtId="10" fontId="0" fillId="4" borderId="19" xfId="0" applyNumberFormat="1" applyFill="1" applyBorder="1" applyAlignment="1" applyProtection="1">
      <alignment horizontal="right" vertical="center"/>
      <protection locked="0"/>
    </xf>
    <xf numFmtId="184" fontId="7" fillId="4" borderId="21" xfId="5" applyNumberFormat="1" applyFill="1" applyBorder="1" applyAlignment="1" applyProtection="1">
      <alignment horizontal="right" vertical="center"/>
      <protection locked="0"/>
    </xf>
    <xf numFmtId="184" fontId="7" fillId="4" borderId="27" xfId="5" applyNumberFormat="1" applyFill="1" applyBorder="1" applyAlignment="1" applyProtection="1">
      <alignment horizontal="right" vertical="center"/>
      <protection locked="0"/>
    </xf>
    <xf numFmtId="0" fontId="7" fillId="4" borderId="17" xfId="5" applyFont="1" applyFill="1" applyBorder="1" applyAlignment="1" applyProtection="1">
      <alignment horizontal="center" vertical="center"/>
    </xf>
    <xf numFmtId="0" fontId="7" fillId="4" borderId="12" xfId="5" applyFont="1" applyFill="1" applyBorder="1" applyAlignment="1" applyProtection="1">
      <alignment horizontal="center" vertical="center"/>
    </xf>
    <xf numFmtId="38" fontId="7" fillId="0" borderId="10" xfId="4" applyFont="1" applyBorder="1" applyAlignment="1" applyProtection="1">
      <alignment horizontal="left" vertical="center"/>
    </xf>
    <xf numFmtId="38" fontId="7" fillId="0" borderId="9" xfId="4" applyFont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/>
    </xf>
    <xf numFmtId="0" fontId="8" fillId="11" borderId="39" xfId="0" applyFont="1" applyFill="1" applyBorder="1" applyAlignment="1" applyProtection="1">
      <alignment horizontal="center" vertical="center" wrapText="1"/>
    </xf>
    <xf numFmtId="0" fontId="8" fillId="11" borderId="33" xfId="0" applyFont="1" applyFill="1" applyBorder="1" applyAlignment="1" applyProtection="1">
      <alignment horizontal="center" vertical="center" wrapText="1"/>
    </xf>
    <xf numFmtId="185" fontId="0" fillId="4" borderId="22" xfId="0" applyNumberFormat="1" applyFill="1" applyBorder="1" applyAlignment="1" applyProtection="1">
      <alignment horizontal="right" vertical="center"/>
      <protection locked="0"/>
    </xf>
    <xf numFmtId="185" fontId="0" fillId="4" borderId="28" xfId="0" applyNumberFormat="1" applyFill="1" applyBorder="1" applyAlignment="1" applyProtection="1">
      <alignment horizontal="right" vertical="center"/>
      <protection locked="0"/>
    </xf>
    <xf numFmtId="184" fontId="7" fillId="4" borderId="22" xfId="5" applyNumberFormat="1" applyFill="1" applyBorder="1" applyAlignment="1" applyProtection="1">
      <alignment horizontal="right" vertical="center"/>
      <protection locked="0"/>
    </xf>
    <xf numFmtId="184" fontId="7" fillId="4" borderId="28" xfId="5" applyNumberFormat="1" applyFill="1" applyBorder="1" applyAlignment="1" applyProtection="1">
      <alignment horizontal="right" vertical="center"/>
      <protection locked="0"/>
    </xf>
    <xf numFmtId="0" fontId="0" fillId="0" borderId="45" xfId="5" applyFont="1" applyFill="1" applyBorder="1" applyAlignment="1" applyProtection="1">
      <alignment horizontal="left" vertical="center"/>
    </xf>
    <xf numFmtId="0" fontId="7" fillId="0" borderId="0" xfId="5" applyFont="1" applyFill="1" applyBorder="1" applyAlignment="1" applyProtection="1">
      <alignment horizontal="left" vertical="center"/>
    </xf>
    <xf numFmtId="0" fontId="7" fillId="0" borderId="58" xfId="5" applyFont="1" applyFill="1" applyBorder="1" applyAlignment="1" applyProtection="1">
      <alignment horizontal="left" vertical="center"/>
    </xf>
    <xf numFmtId="193" fontId="7" fillId="0" borderId="77" xfId="5" applyNumberFormat="1" applyFill="1" applyBorder="1" applyAlignment="1" applyProtection="1">
      <alignment horizontal="right" vertical="center"/>
    </xf>
    <xf numFmtId="193" fontId="7" fillId="0" borderId="78" xfId="5" applyNumberFormat="1" applyFill="1" applyBorder="1" applyAlignment="1" applyProtection="1">
      <alignment horizontal="right" vertical="center"/>
    </xf>
    <xf numFmtId="0" fontId="7" fillId="3" borderId="10" xfId="5" applyFill="1" applyBorder="1" applyAlignment="1" applyProtection="1">
      <alignment horizontal="left" vertical="center"/>
    </xf>
    <xf numFmtId="0" fontId="7" fillId="3" borderId="9" xfId="5" applyFill="1" applyBorder="1" applyAlignment="1" applyProtection="1">
      <alignment horizontal="left" vertical="center"/>
    </xf>
    <xf numFmtId="0" fontId="0" fillId="0" borderId="75" xfId="5" applyFont="1" applyFill="1" applyBorder="1" applyAlignment="1" applyProtection="1">
      <alignment horizontal="center" vertical="center"/>
    </xf>
    <xf numFmtId="0" fontId="7" fillId="0" borderId="76" xfId="5" applyFill="1" applyBorder="1" applyAlignment="1" applyProtection="1">
      <alignment horizontal="center" vertical="center"/>
    </xf>
    <xf numFmtId="0" fontId="7" fillId="0" borderId="45" xfId="5" applyFont="1" applyFill="1" applyBorder="1" applyAlignment="1" applyProtection="1">
      <alignment horizontal="left" vertical="center"/>
    </xf>
    <xf numFmtId="0" fontId="7" fillId="0" borderId="14" xfId="5" applyFont="1" applyFill="1" applyBorder="1" applyAlignment="1" applyProtection="1">
      <alignment horizontal="left" vertical="center"/>
    </xf>
    <xf numFmtId="0" fontId="7" fillId="0" borderId="15" xfId="5" applyFont="1" applyFill="1" applyBorder="1" applyAlignment="1" applyProtection="1">
      <alignment horizontal="left" vertical="center"/>
    </xf>
    <xf numFmtId="0" fontId="7" fillId="0" borderId="59" xfId="5" applyFont="1" applyFill="1" applyBorder="1" applyAlignment="1" applyProtection="1">
      <alignment horizontal="left" vertical="center"/>
    </xf>
    <xf numFmtId="0" fontId="14" fillId="4" borderId="17" xfId="0" applyFont="1" applyFill="1" applyBorder="1" applyAlignment="1" applyProtection="1">
      <alignment horizontal="left" vertical="center"/>
    </xf>
    <xf numFmtId="0" fontId="14" fillId="4" borderId="12" xfId="0" applyFont="1" applyFill="1" applyBorder="1" applyAlignment="1" applyProtection="1">
      <alignment horizontal="left" vertical="center"/>
    </xf>
    <xf numFmtId="0" fontId="8" fillId="12" borderId="56" xfId="0" applyFont="1" applyFill="1" applyBorder="1" applyAlignment="1" applyProtection="1">
      <alignment horizontal="center" vertical="center" wrapText="1"/>
    </xf>
    <xf numFmtId="0" fontId="8" fillId="12" borderId="57" xfId="0" applyFont="1" applyFill="1" applyBorder="1" applyAlignment="1" applyProtection="1">
      <alignment horizontal="center" vertical="center" wrapText="1"/>
    </xf>
    <xf numFmtId="0" fontId="8" fillId="12" borderId="65" xfId="0" applyFont="1" applyFill="1" applyBorder="1" applyAlignment="1" applyProtection="1">
      <alignment horizontal="center" vertical="center" wrapText="1"/>
    </xf>
    <xf numFmtId="0" fontId="0" fillId="3" borderId="68" xfId="5" applyFont="1" applyFill="1" applyBorder="1" applyAlignment="1" applyProtection="1">
      <alignment horizontal="left" vertical="center"/>
    </xf>
    <xf numFmtId="0" fontId="7" fillId="3" borderId="69" xfId="5" applyFill="1" applyBorder="1" applyAlignment="1" applyProtection="1">
      <alignment horizontal="left" vertical="center"/>
    </xf>
    <xf numFmtId="38" fontId="7" fillId="3" borderId="70" xfId="4" applyFill="1" applyBorder="1" applyAlignment="1" applyProtection="1">
      <alignment horizontal="right" vertical="center"/>
      <protection locked="0"/>
    </xf>
    <xf numFmtId="38" fontId="7" fillId="3" borderId="71" xfId="4" applyFill="1" applyBorder="1" applyAlignment="1" applyProtection="1">
      <alignment horizontal="right" vertical="center"/>
      <protection locked="0"/>
    </xf>
    <xf numFmtId="179" fontId="7" fillId="4" borderId="23" xfId="2" applyNumberFormat="1" applyFont="1" applyFill="1" applyBorder="1" applyAlignment="1" applyProtection="1">
      <alignment horizontal="right" vertical="center"/>
    </xf>
    <xf numFmtId="179" fontId="7" fillId="4" borderId="1" xfId="2" applyNumberFormat="1" applyFont="1" applyFill="1" applyBorder="1" applyAlignment="1" applyProtection="1">
      <alignment horizontal="right" vertical="center"/>
    </xf>
    <xf numFmtId="0" fontId="8" fillId="7" borderId="39" xfId="0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</xf>
    <xf numFmtId="0" fontId="7" fillId="3" borderId="47" xfId="5" applyFont="1" applyFill="1" applyBorder="1" applyAlignment="1" applyProtection="1">
      <alignment horizontal="left" vertical="center"/>
    </xf>
    <xf numFmtId="0" fontId="7" fillId="3" borderId="18" xfId="5" applyFont="1" applyFill="1" applyBorder="1" applyAlignment="1" applyProtection="1">
      <alignment horizontal="left" vertical="center"/>
    </xf>
    <xf numFmtId="0" fontId="7" fillId="3" borderId="13" xfId="5" applyFont="1" applyFill="1" applyBorder="1" applyAlignment="1" applyProtection="1">
      <alignment horizontal="left" vertical="center"/>
    </xf>
    <xf numFmtId="197" fontId="10" fillId="0" borderId="73" xfId="0" applyNumberFormat="1" applyFont="1" applyBorder="1" applyAlignment="1" applyProtection="1">
      <alignment horizontal="right" vertical="center"/>
    </xf>
    <xf numFmtId="197" fontId="10" fillId="0" borderId="74" xfId="0" applyNumberFormat="1" applyFont="1" applyBorder="1" applyAlignment="1" applyProtection="1">
      <alignment horizontal="right" vertical="center"/>
    </xf>
    <xf numFmtId="0" fontId="0" fillId="3" borderId="10" xfId="5" applyFont="1" applyFill="1" applyBorder="1" applyAlignment="1" applyProtection="1">
      <alignment horizontal="left" vertical="center"/>
    </xf>
    <xf numFmtId="0" fontId="0" fillId="0" borderId="63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 textRotation="255"/>
    </xf>
    <xf numFmtId="0" fontId="0" fillId="0" borderId="57" xfId="0" applyBorder="1" applyAlignment="1" applyProtection="1">
      <alignment horizontal="center" vertical="center" textRotation="255"/>
    </xf>
    <xf numFmtId="0" fontId="0" fillId="0" borderId="47" xfId="0" applyBorder="1" applyAlignment="1" applyProtection="1">
      <alignment horizontal="center" vertical="center" textRotation="255"/>
    </xf>
    <xf numFmtId="0" fontId="0" fillId="0" borderId="72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0" fillId="3" borderId="63" xfId="5" applyFont="1" applyFill="1" applyBorder="1" applyAlignment="1" applyProtection="1">
      <alignment horizontal="left" vertical="center"/>
    </xf>
    <xf numFmtId="0" fontId="7" fillId="3" borderId="67" xfId="5" applyFont="1" applyFill="1" applyBorder="1" applyAlignment="1" applyProtection="1">
      <alignment horizontal="left" vertical="center"/>
    </xf>
    <xf numFmtId="0" fontId="14" fillId="4" borderId="36" xfId="0" applyFont="1" applyFill="1" applyBorder="1" applyAlignment="1" applyProtection="1">
      <alignment horizontal="left" vertical="center"/>
    </xf>
    <xf numFmtId="0" fontId="14" fillId="4" borderId="5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</cellXfs>
  <cellStyles count="7">
    <cellStyle name="パーセント" xfId="1" builtinId="5"/>
    <cellStyle name="パーセント 2" xfId="2"/>
    <cellStyle name="ハイパーリンク" xfId="3" builtinId="8"/>
    <cellStyle name="桁区切り" xfId="4" builtinId="6"/>
    <cellStyle name="標準" xfId="0" builtinId="0"/>
    <cellStyle name="標準 2" xfId="5"/>
    <cellStyle name="良い" xfId="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41176251072882"/>
          <c:y val="4.4792798787475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8975713648145"/>
          <c:y val="5.9996960756873073E-2"/>
          <c:w val="0.78456438650408944"/>
          <c:h val="0.79404051128327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シミュレーション設定!$AF$4</c:f>
              <c:strCache>
                <c:ptCount val="1"/>
                <c:pt idx="0">
                  <c:v>累積収支(円)</c:v>
                </c:pt>
              </c:strCache>
            </c:strRef>
          </c:tx>
          <c:xVal>
            <c:numRef>
              <c:f>シミュレーション設定!$R$5:$R$36</c:f>
              <c:numCache>
                <c:formatCode>General</c:formatCode>
                <c:ptCount val="32"/>
                <c:pt idx="2" formatCode="0&quot;年&quot;">
                  <c:v>1</c:v>
                </c:pt>
                <c:pt idx="3" formatCode="0&quot;年&quot;">
                  <c:v>2</c:v>
                </c:pt>
                <c:pt idx="4" formatCode="0&quot;年&quot;">
                  <c:v>3</c:v>
                </c:pt>
                <c:pt idx="5" formatCode="0&quot;年&quot;">
                  <c:v>4</c:v>
                </c:pt>
                <c:pt idx="6" formatCode="0&quot;年&quot;">
                  <c:v>5</c:v>
                </c:pt>
                <c:pt idx="7" formatCode="0&quot;年&quot;">
                  <c:v>6</c:v>
                </c:pt>
                <c:pt idx="8" formatCode="0&quot;年&quot;">
                  <c:v>7</c:v>
                </c:pt>
                <c:pt idx="9" formatCode="0&quot;年&quot;">
                  <c:v>8</c:v>
                </c:pt>
                <c:pt idx="10" formatCode="0&quot;年&quot;">
                  <c:v>9</c:v>
                </c:pt>
                <c:pt idx="11" formatCode="0&quot;年&quot;">
                  <c:v>10</c:v>
                </c:pt>
                <c:pt idx="12" formatCode="0&quot;年&quot;">
                  <c:v>11</c:v>
                </c:pt>
                <c:pt idx="13" formatCode="0&quot;年&quot;">
                  <c:v>12</c:v>
                </c:pt>
                <c:pt idx="14" formatCode="0&quot;年&quot;">
                  <c:v>13</c:v>
                </c:pt>
                <c:pt idx="15" formatCode="0&quot;年&quot;">
                  <c:v>14</c:v>
                </c:pt>
                <c:pt idx="16" formatCode="0&quot;年&quot;">
                  <c:v>15</c:v>
                </c:pt>
                <c:pt idx="17" formatCode="0&quot;年&quot;">
                  <c:v>16</c:v>
                </c:pt>
                <c:pt idx="18" formatCode="0&quot;年&quot;">
                  <c:v>17</c:v>
                </c:pt>
                <c:pt idx="19" formatCode="0&quot;年&quot;">
                  <c:v>18</c:v>
                </c:pt>
                <c:pt idx="20" formatCode="0&quot;年&quot;">
                  <c:v>19</c:v>
                </c:pt>
                <c:pt idx="21" formatCode="0&quot;年&quot;">
                  <c:v>20</c:v>
                </c:pt>
                <c:pt idx="22" formatCode="0&quot;年&quot;">
                  <c:v>21</c:v>
                </c:pt>
                <c:pt idx="23" formatCode="0&quot;年&quot;">
                  <c:v>22</c:v>
                </c:pt>
                <c:pt idx="24" formatCode="0&quot;年&quot;">
                  <c:v>23</c:v>
                </c:pt>
                <c:pt idx="25" formatCode="0&quot;年&quot;">
                  <c:v>24</c:v>
                </c:pt>
                <c:pt idx="26" formatCode="0&quot;年&quot;">
                  <c:v>25</c:v>
                </c:pt>
                <c:pt idx="27" formatCode="0&quot;年&quot;">
                  <c:v>26</c:v>
                </c:pt>
                <c:pt idx="28" formatCode="0&quot;年&quot;">
                  <c:v>27</c:v>
                </c:pt>
                <c:pt idx="29" formatCode="0&quot;年&quot;">
                  <c:v>28</c:v>
                </c:pt>
                <c:pt idx="30" formatCode="0&quot;年&quot;">
                  <c:v>29</c:v>
                </c:pt>
                <c:pt idx="31" formatCode="0&quot;年&quot;">
                  <c:v>30</c:v>
                </c:pt>
              </c:numCache>
            </c:numRef>
          </c:xVal>
          <c:yVal>
            <c:numRef>
              <c:f>シミュレーション設定!$AF$5:$AF$36</c:f>
              <c:numCache>
                <c:formatCode>General</c:formatCode>
                <c:ptCount val="32"/>
                <c:pt idx="2" formatCode="#,##0_);[Red]\(#,##0\)">
                  <c:v>8559.9682246441953</c:v>
                </c:pt>
                <c:pt idx="3" formatCode="#,##0_);[Red]\(#,##0\)">
                  <c:v>1697.0145002333447</c:v>
                </c:pt>
                <c:pt idx="4" formatCode="#,##0_);[Red]\(#,##0\)">
                  <c:v>-11701.596201614826</c:v>
                </c:pt>
                <c:pt idx="5" formatCode="#,##0_);[Red]\(#,##0\)">
                  <c:v>-31795.02215820027</c:v>
                </c:pt>
                <c:pt idx="6" formatCode="#,##0_);[Red]\(#,##0\)">
                  <c:v>-58512.861142405309</c:v>
                </c:pt>
                <c:pt idx="7" formatCode="#,##0_);[Red]\(#,##0\)">
                  <c:v>-99039.591547174146</c:v>
                </c:pt>
                <c:pt idx="8" formatCode="#,##0_);[Red]\(#,##0\)">
                  <c:v>-145706.59809488023</c:v>
                </c:pt>
                <c:pt idx="9" formatCode="#,##0_);[Red]\(#,##0\)">
                  <c:v>-198445.56957495352</c:v>
                </c:pt>
                <c:pt idx="10" formatCode="#,##0_);[Red]\(#,##0\)">
                  <c:v>-257188.87788892945</c:v>
                </c:pt>
                <c:pt idx="11" formatCode="#,##0_);[Red]\(#,##0\)">
                  <c:v>-321869.57121932844</c:v>
                </c:pt>
                <c:pt idx="12" formatCode="#,##0_);[Red]\(#,##0\)">
                  <c:v>-792651.64890487061</c:v>
                </c:pt>
                <c:pt idx="13" formatCode="#,##0_);[Red]\(#,##0\)">
                  <c:v>-869239.2098312187</c:v>
                </c:pt>
                <c:pt idx="14" formatCode="#,##0_);[Red]\(#,##0\)">
                  <c:v>-951567.29071682389</c:v>
                </c:pt>
                <c:pt idx="15" formatCode="#,##0_);[Red]\(#,##0\)">
                  <c:v>-304892.78865860135</c:v>
                </c:pt>
                <c:pt idx="16" formatCode="#,##0_);[Red]\(#,##0\)">
                  <c:v>335938.8959633183</c:v>
                </c:pt>
                <c:pt idx="17" formatCode="#,##0_);[Red]\(#,##0\)">
                  <c:v>971221.07859408355</c:v>
                </c:pt>
                <c:pt idx="18" formatCode="#,##0_);[Red]\(#,##0\)">
                  <c:v>1600785.8810647218</c:v>
                </c:pt>
                <c:pt idx="19" formatCode="#,##0_);[Red]\(#,##0\)">
                  <c:v>2145824.4191905879</c:v>
                </c:pt>
                <c:pt idx="20" formatCode="#,##0_);[Red]\(#,##0\)">
                  <c:v>2686505.4952198379</c:v>
                </c:pt>
                <c:pt idx="21" formatCode="#,##0_);[Red]\(#,##0\)">
                  <c:v>3222877.2894061985</c:v>
                </c:pt>
                <c:pt idx="22" formatCode="#,##0_);[Red]\(#,##0\)">
                  <c:v>3488243.3366934601</c:v>
                </c:pt>
                <c:pt idx="23" formatCode="#,##0_);[Red]\(#,##0\)">
                  <c:v>3351413.3122939342</c:v>
                </c:pt>
                <c:pt idx="24" formatCode="#,##0_);[Red]\(#,##0\)">
                  <c:v>3612382.8524125172</c:v>
                </c:pt>
                <c:pt idx="25" formatCode="#,##0_);[Red]\(#,##0\)">
                  <c:v>3871173.9614040279</c:v>
                </c:pt>
                <c:pt idx="26" formatCode="#,##0_);[Red]\(#,##0\)">
                  <c:v>4127808.4235797366</c:v>
                </c:pt>
                <c:pt idx="27" formatCode="#,##0_);[Red]\(#,##0\)">
                  <c:v>4382307.8054078016</c:v>
                </c:pt>
                <c:pt idx="28" formatCode="#,##0_);[Red]\(#,##0\)">
                  <c:v>4634693.4576917002</c:v>
                </c:pt>
                <c:pt idx="29" formatCode="#,##0_);[Red]\(#,##0\)">
                  <c:v>4884986.517726873</c:v>
                </c:pt>
                <c:pt idx="30" formatCode="#,##0_);[Red]\(#,##0\)">
                  <c:v>5133207.9114358071</c:v>
                </c:pt>
                <c:pt idx="31" formatCode="#,##0_);[Red]\(#,##0\)">
                  <c:v>5379378.3554817652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C3-4692-BC5F-AF38ACE48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4554240"/>
        <c:axId val="-814561312"/>
      </c:scatterChart>
      <c:valAx>
        <c:axId val="-814554240"/>
        <c:scaling>
          <c:orientation val="minMax"/>
          <c:max val="20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814561312"/>
        <c:crosses val="autoZero"/>
        <c:crossBetween val="midCat"/>
        <c:majorUnit val="1"/>
      </c:valAx>
      <c:valAx>
        <c:axId val="-814561312"/>
        <c:scaling>
          <c:orientation val="minMax"/>
        </c:scaling>
        <c:delete val="0"/>
        <c:axPos val="l"/>
        <c:majorGridlines/>
        <c:numFmt formatCode="\¥#,##0_);[Red]\(\¥#,##0\)" sourceLinked="0"/>
        <c:majorTickMark val="out"/>
        <c:minorTickMark val="none"/>
        <c:tickLblPos val="nextTo"/>
        <c:crossAx val="-814554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6685449863790726E-2"/>
          <c:y val="0.13380725296661861"/>
          <c:w val="0.12322648057618392"/>
          <c:h val="8.216221211785146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パラメータ類!$C$34</c:f>
              <c:strCache>
                <c:ptCount val="1"/>
                <c:pt idx="0">
                  <c:v>0°(真南)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パラメータ類!$C$35:$C$39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0.94299999999999995</c:v>
                </c:pt>
                <c:pt idx="2">
                  <c:v>0.98199999999999998</c:v>
                </c:pt>
                <c:pt idx="3" formatCode="0%">
                  <c:v>1</c:v>
                </c:pt>
                <c:pt idx="4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6-4603-A303-6208F3163DC2}"/>
            </c:ext>
          </c:extLst>
        </c:ser>
        <c:ser>
          <c:idx val="1"/>
          <c:order val="1"/>
          <c:tx>
            <c:strRef>
              <c:f>パラメータ類!$D$34</c:f>
              <c:strCache>
                <c:ptCount val="1"/>
                <c:pt idx="0">
                  <c:v>15°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パラメータ類!$D$35:$D$39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0.94099999999999995</c:v>
                </c:pt>
                <c:pt idx="2">
                  <c:v>0.97799999999999998</c:v>
                </c:pt>
                <c:pt idx="3">
                  <c:v>0.996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6-4603-A303-6208F3163DC2}"/>
            </c:ext>
          </c:extLst>
        </c:ser>
        <c:ser>
          <c:idx val="2"/>
          <c:order val="2"/>
          <c:tx>
            <c:strRef>
              <c:f>パラメータ類!$E$34</c:f>
              <c:strCache>
                <c:ptCount val="1"/>
                <c:pt idx="0">
                  <c:v>30°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パラメータ類!$E$35:$E$39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0.93400000000000005</c:v>
                </c:pt>
                <c:pt idx="2">
                  <c:v>0.96599999999999997</c:v>
                </c:pt>
                <c:pt idx="3">
                  <c:v>0.97799999999999998</c:v>
                </c:pt>
                <c:pt idx="4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6-4603-A303-6208F3163DC2}"/>
            </c:ext>
          </c:extLst>
        </c:ser>
        <c:ser>
          <c:idx val="3"/>
          <c:order val="3"/>
          <c:tx>
            <c:strRef>
              <c:f>パラメータ類!$F$34</c:f>
              <c:strCache>
                <c:ptCount val="1"/>
                <c:pt idx="0">
                  <c:v>45°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パラメータ類!$F$35:$F$39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0.92300000000000004</c:v>
                </c:pt>
                <c:pt idx="2">
                  <c:v>0.94599999999999995</c:v>
                </c:pt>
                <c:pt idx="3">
                  <c:v>0.95099999999999996</c:v>
                </c:pt>
                <c:pt idx="4">
                  <c:v>0.93600000000000005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86-4603-A303-6208F3163DC2}"/>
            </c:ext>
          </c:extLst>
        </c:ser>
        <c:ser>
          <c:idx val="4"/>
          <c:order val="4"/>
          <c:tx>
            <c:strRef>
              <c:f>パラメータ類!$G$34</c:f>
              <c:strCache>
                <c:ptCount val="1"/>
                <c:pt idx="0">
                  <c:v>90°(東､西)</c:v>
                </c:pt>
              </c:strCache>
            </c:strRef>
          </c:tx>
          <c:cat>
            <c:strRef>
              <c:f>パラメータ類!$B$35:$B$39</c:f>
              <c:strCache>
                <c:ptCount val="5"/>
                <c:pt idx="0">
                  <c:v>水平面</c:v>
                </c:pt>
                <c:pt idx="1">
                  <c:v>10°</c:v>
                </c:pt>
                <c:pt idx="2">
                  <c:v>20°</c:v>
                </c:pt>
                <c:pt idx="3">
                  <c:v>30°</c:v>
                </c:pt>
                <c:pt idx="4">
                  <c:v>40°</c:v>
                </c:pt>
              </c:strCache>
            </c:strRef>
          </c:cat>
          <c:val>
            <c:numRef>
              <c:f>パラメータ類!$G$35:$G$39</c:f>
              <c:numCache>
                <c:formatCode>0.00%</c:formatCode>
                <c:ptCount val="5"/>
                <c:pt idx="0">
                  <c:v>0.88400000000000001</c:v>
                </c:pt>
                <c:pt idx="1">
                  <c:v>0.876</c:v>
                </c:pt>
                <c:pt idx="2">
                  <c:v>0.85799999999999998</c:v>
                </c:pt>
                <c:pt idx="3">
                  <c:v>0.82799999999999996</c:v>
                </c:pt>
                <c:pt idx="4">
                  <c:v>0.78900000000000003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86-4603-A303-6208F316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4559680"/>
        <c:axId val="-814559136"/>
      </c:lineChart>
      <c:catAx>
        <c:axId val="-81455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水平方向傾斜角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814559136"/>
        <c:crosses val="autoZero"/>
        <c:auto val="1"/>
        <c:lblAlgn val="ctr"/>
        <c:lblOffset val="100"/>
        <c:noMultiLvlLbl val="0"/>
      </c:catAx>
      <c:valAx>
        <c:axId val="-814559136"/>
        <c:scaling>
          <c:orientation val="minMax"/>
          <c:max val="1.05"/>
          <c:min val="0.7500000000000001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81455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58433001997205"/>
          <c:y val="0.28960166743862897"/>
          <c:w val="0.2332437271871628"/>
          <c:h val="0.404990202016603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1057963548948906E-2"/>
          <c:y val="0.14401961176172776"/>
          <c:w val="0.85978016973358495"/>
          <c:h val="0.7677114304680146"/>
        </c:manualLayout>
      </c:layout>
      <c:scatterChart>
        <c:scatterStyle val="lineMarker"/>
        <c:varyColors val="0"/>
        <c:ser>
          <c:idx val="0"/>
          <c:order val="0"/>
          <c:tx>
            <c:strRef>
              <c:f>パラメータ類!$N$42</c:f>
              <c:strCache>
                <c:ptCount val="1"/>
                <c:pt idx="0">
                  <c:v>パネル単価(%)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3.5614406261095122E-4"/>
                  <c:y val="7.665241584509222E-2"/>
                </c:manualLayout>
              </c:layout>
              <c:numFmt formatCode="General" sourceLinked="0"/>
            </c:trendlineLbl>
          </c:trendline>
          <c:xVal>
            <c:numRef>
              <c:f>パラメータ類!$M$43:$M$49</c:f>
              <c:numCache>
                <c:formatCode>0.00"kW"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9.8800000000000008</c:v>
                </c:pt>
              </c:numCache>
            </c:numRef>
          </c:xVal>
          <c:yVal>
            <c:numRef>
              <c:f>パラメータ類!$N$43:$N$49</c:f>
              <c:numCache>
                <c:formatCode>General</c:formatCode>
                <c:ptCount val="7"/>
                <c:pt idx="0">
                  <c:v>1</c:v>
                </c:pt>
                <c:pt idx="1">
                  <c:v>0.95454545454545459</c:v>
                </c:pt>
                <c:pt idx="2">
                  <c:v>0.90909090909090906</c:v>
                </c:pt>
                <c:pt idx="3">
                  <c:v>0.86363636363636365</c:v>
                </c:pt>
                <c:pt idx="4">
                  <c:v>0.81818181818181823</c:v>
                </c:pt>
                <c:pt idx="5">
                  <c:v>0.77272727272727271</c:v>
                </c:pt>
                <c:pt idx="6">
                  <c:v>0.73272727272727278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0C-4138-B8B5-B5BC7840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705232"/>
        <c:axId val="-459702512"/>
      </c:scatterChart>
      <c:valAx>
        <c:axId val="-459705232"/>
        <c:scaling>
          <c:orientation val="minMax"/>
          <c:max val="11"/>
          <c:min val="3"/>
        </c:scaling>
        <c:delete val="0"/>
        <c:axPos val="b"/>
        <c:numFmt formatCode="0.00&quot;kW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702512"/>
        <c:crosses val="autoZero"/>
        <c:crossBetween val="midCat"/>
      </c:valAx>
      <c:valAx>
        <c:axId val="-459702512"/>
        <c:scaling>
          <c:orientation val="minMax"/>
          <c:max val="1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-459705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890673665791778"/>
          <c:y val="0.18454008275327621"/>
          <c:w val="0.28000909886264214"/>
          <c:h val="0.1247841910798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4.2812773403324584E-3"/>
                  <c:y val="0.11618328958880141"/>
                </c:manualLayout>
              </c:layout>
              <c:numFmt formatCode="General" sourceLinked="0"/>
            </c:trendlineLbl>
          </c:trendline>
          <c:xVal>
            <c:numRef>
              <c:f>パラメータ類!$Q$18:$Q$22</c:f>
              <c:numCache>
                <c:formatCode>0.00"kWh"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9.9</c:v>
                </c:pt>
              </c:numCache>
            </c:numRef>
          </c:xVal>
          <c:yVal>
            <c:numRef>
              <c:f>パラメータ類!$U$18:$U$22</c:f>
              <c:numCache>
                <c:formatCode>General</c:formatCode>
                <c:ptCount val="5"/>
                <c:pt idx="0">
                  <c:v>430916.66666666669</c:v>
                </c:pt>
                <c:pt idx="1">
                  <c:v>409142.85714285716</c:v>
                </c:pt>
                <c:pt idx="2">
                  <c:v>387250</c:v>
                </c:pt>
                <c:pt idx="3">
                  <c:v>365555.55555555556</c:v>
                </c:pt>
                <c:pt idx="4">
                  <c:v>345525.25252525252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2-4C8F-94D3-46D39304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700880"/>
        <c:axId val="-459701424"/>
      </c:scatterChart>
      <c:valAx>
        <c:axId val="-459700880"/>
        <c:scaling>
          <c:orientation val="minMax"/>
        </c:scaling>
        <c:delete val="0"/>
        <c:axPos val="b"/>
        <c:numFmt formatCode="0.00&quot;kWh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701424"/>
        <c:crosses val="autoZero"/>
        <c:crossBetween val="midCat"/>
      </c:valAx>
      <c:valAx>
        <c:axId val="-45970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59700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814911417322836"/>
          <c:y val="0.43991823137492425"/>
          <c:w val="0.25938361220472439"/>
          <c:h val="0.170678755299818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価格推定!$C$4</c:f>
              <c:strCache>
                <c:ptCount val="1"/>
                <c:pt idx="0">
                  <c:v>単価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791876782518494"/>
                  <c:y val="-0.4965649135296078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価格推定!$B$5:$B$100</c:f>
              <c:numCache>
                <c:formatCode>General</c:formatCode>
                <c:ptCount val="96"/>
                <c:pt idx="1">
                  <c:v>13.2</c:v>
                </c:pt>
                <c:pt idx="2">
                  <c:v>16.8</c:v>
                </c:pt>
                <c:pt idx="6">
                  <c:v>22.8</c:v>
                </c:pt>
                <c:pt idx="8">
                  <c:v>23.4</c:v>
                </c:pt>
                <c:pt idx="9">
                  <c:v>24.2</c:v>
                </c:pt>
                <c:pt idx="11">
                  <c:v>10.8</c:v>
                </c:pt>
                <c:pt idx="12">
                  <c:v>18.399999999999999</c:v>
                </c:pt>
                <c:pt idx="13">
                  <c:v>16</c:v>
                </c:pt>
              </c:numCache>
            </c:numRef>
          </c:xVal>
          <c:yVal>
            <c:numRef>
              <c:f>価格推定!$C$5:$C$100</c:f>
              <c:numCache>
                <c:formatCode>General</c:formatCode>
                <c:ptCount val="96"/>
                <c:pt idx="1">
                  <c:v>38.712121212121211</c:v>
                </c:pt>
                <c:pt idx="2">
                  <c:v>38.31547619047619</c:v>
                </c:pt>
                <c:pt idx="6">
                  <c:v>37.995614035087719</c:v>
                </c:pt>
                <c:pt idx="8">
                  <c:v>37.96153846153846</c:v>
                </c:pt>
                <c:pt idx="9">
                  <c:v>37.921487603305785</c:v>
                </c:pt>
                <c:pt idx="11">
                  <c:v>39.185185185185183</c:v>
                </c:pt>
                <c:pt idx="12">
                  <c:v>38.179347826086961</c:v>
                </c:pt>
                <c:pt idx="13">
                  <c:v>38.393749999999997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B-439A-99D8-48928B54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9699248"/>
        <c:axId val="-459698704"/>
      </c:scatterChart>
      <c:valAx>
        <c:axId val="-45969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59698704"/>
        <c:crosses val="autoZero"/>
        <c:crossBetween val="midCat"/>
      </c:valAx>
      <c:valAx>
        <c:axId val="-4596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596992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25" fmlaLink="$D$6" fmlaRange="system!$H$2:$H$11" noThreeD="1" sel="1" val="0"/>
</file>

<file path=xl/ctrlProps/ctrlProp2.xml><?xml version="1.0" encoding="utf-8"?>
<formControlPr xmlns="http://schemas.microsoft.com/office/spreadsheetml/2009/9/main" objectType="Drop" dropStyle="combo" dx="25" fmlaLink="system!$M$7" fmlaRange="system!$Q$2:$Q$3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88346</xdr:colOff>
      <xdr:row>39</xdr:row>
      <xdr:rowOff>93317</xdr:rowOff>
    </xdr:from>
    <xdr:to>
      <xdr:col>12</xdr:col>
      <xdr:colOff>198782</xdr:colOff>
      <xdr:row>57</xdr:row>
      <xdr:rowOff>22087</xdr:rowOff>
    </xdr:to>
    <xdr:graphicFrame macro="">
      <xdr:nvGraphicFramePr>
        <xdr:cNvPr id="593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19050</xdr:rowOff>
        </xdr:from>
        <xdr:to>
          <xdr:col>4</xdr:col>
          <xdr:colOff>495300</xdr:colOff>
          <xdr:row>5</xdr:row>
          <xdr:rowOff>158750</xdr:rowOff>
        </xdr:to>
        <xdr:sp macro="" textlink="">
          <xdr:nvSpPr>
            <xdr:cNvPr id="3262470" name="Drop Down 1030" hidden="1">
              <a:extLst>
                <a:ext uri="{63B3BB69-23CF-44E3-9099-C40C66FF867C}">
                  <a14:compatExt spid="_x0000_s32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12700</xdr:rowOff>
        </xdr:from>
        <xdr:to>
          <xdr:col>4</xdr:col>
          <xdr:colOff>488950</xdr:colOff>
          <xdr:row>6</xdr:row>
          <xdr:rowOff>158750</xdr:rowOff>
        </xdr:to>
        <xdr:sp macro="" textlink="">
          <xdr:nvSpPr>
            <xdr:cNvPr id="3262474" name="Drop Down 1034" hidden="1">
              <a:extLst>
                <a:ext uri="{63B3BB69-23CF-44E3-9099-C40C66FF867C}">
                  <a14:compatExt spid="_x0000_s326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336550</xdr:colOff>
      <xdr:row>12</xdr:row>
      <xdr:rowOff>38100</xdr:rowOff>
    </xdr:from>
    <xdr:to>
      <xdr:col>15</xdr:col>
      <xdr:colOff>133350</xdr:colOff>
      <xdr:row>29</xdr:row>
      <xdr:rowOff>38100</xdr:rowOff>
    </xdr:to>
    <xdr:graphicFrame macro="">
      <xdr:nvGraphicFramePr>
        <xdr:cNvPr id="17374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107950</xdr:colOff>
      <xdr:row>55</xdr:row>
      <xdr:rowOff>120650</xdr:rowOff>
    </xdr:from>
    <xdr:to>
      <xdr:col>24</xdr:col>
      <xdr:colOff>57150</xdr:colOff>
      <xdr:row>77</xdr:row>
      <xdr:rowOff>101600</xdr:rowOff>
    </xdr:to>
    <xdr:graphicFrame macro="">
      <xdr:nvGraphicFramePr>
        <xdr:cNvPr id="17374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412750</xdr:colOff>
      <xdr:row>29</xdr:row>
      <xdr:rowOff>63500</xdr:rowOff>
    </xdr:from>
    <xdr:to>
      <xdr:col>26</xdr:col>
      <xdr:colOff>209550</xdr:colOff>
      <xdr:row>45</xdr:row>
      <xdr:rowOff>63500</xdr:rowOff>
    </xdr:to>
    <xdr:graphicFrame macro="">
      <xdr:nvGraphicFramePr>
        <xdr:cNvPr id="173743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0.74583</cdr:x>
      <cdr:y>0.1875</cdr:y>
    </cdr:from>
    <cdr:to>
      <cdr:x>0.83784</cdr:x>
      <cdr:y>0.28973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09950" y="514350"/>
          <a:ext cx="420660" cy="2804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323850</xdr:colOff>
      <xdr:row>25</xdr:row>
      <xdr:rowOff>6350</xdr:rowOff>
    </xdr:to>
    <xdr:graphicFrame macro="">
      <xdr:nvGraphicFramePr>
        <xdr:cNvPr id="209426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house2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AG46"/>
  <sheetViews>
    <sheetView tabSelected="1" topLeftCell="D1" zoomScale="115" zoomScaleNormal="115" workbookViewId="0">
      <selection activeCell="J22" sqref="J22"/>
    </sheetView>
  </sheetViews>
  <sheetFormatPr defaultColWidth="9" defaultRowHeight="13" outlineLevelCol="1" x14ac:dyDescent="0.2"/>
  <cols>
    <col min="1" max="1" width="1.26953125" style="17" customWidth="1"/>
    <col min="2" max="2" width="4.7265625" style="17" customWidth="1"/>
    <col min="3" max="3" width="20.90625" style="17" customWidth="1"/>
    <col min="4" max="4" width="6" style="17" customWidth="1"/>
    <col min="5" max="5" width="7.453125" style="17" bestFit="1" customWidth="1"/>
    <col min="6" max="6" width="4.26953125" style="17" customWidth="1"/>
    <col min="7" max="7" width="3.90625" style="17" customWidth="1"/>
    <col min="8" max="8" width="5.7265625" style="17" customWidth="1"/>
    <col min="9" max="9" width="17.26953125" style="17" bestFit="1" customWidth="1"/>
    <col min="10" max="10" width="11" style="17" bestFit="1" customWidth="1"/>
    <col min="11" max="11" width="11.36328125" style="17" customWidth="1"/>
    <col min="12" max="12" width="2.08984375" style="17" customWidth="1"/>
    <col min="13" max="13" width="2.90625" style="17" bestFit="1" customWidth="1"/>
    <col min="14" max="14" width="18.36328125" style="17" bestFit="1" customWidth="1"/>
    <col min="15" max="15" width="9.7265625" style="17" customWidth="1"/>
    <col min="16" max="16" width="1" style="17" customWidth="1"/>
    <col min="17" max="17" width="1.6328125" style="17" customWidth="1"/>
    <col min="18" max="18" width="5.36328125" style="17" bestFit="1" customWidth="1"/>
    <col min="19" max="20" width="11.7265625" style="17" customWidth="1" outlineLevel="1"/>
    <col min="21" max="21" width="9" style="17" customWidth="1" outlineLevel="1"/>
    <col min="22" max="23" width="14.36328125" style="17" customWidth="1" outlineLevel="1"/>
    <col min="24" max="24" width="9.26953125" style="17" customWidth="1" outlineLevel="1"/>
    <col min="25" max="25" width="10.08984375" style="17" customWidth="1" outlineLevel="1"/>
    <col min="26" max="26" width="8.7265625" style="17" customWidth="1" outlineLevel="1"/>
    <col min="27" max="27" width="10.26953125" style="17" customWidth="1" outlineLevel="1"/>
    <col min="28" max="29" width="7.90625" style="17" customWidth="1" outlineLevel="1"/>
    <col min="30" max="30" width="9.7265625" style="17" customWidth="1" outlineLevel="1"/>
    <col min="31" max="31" width="8.90625" style="17" bestFit="1" customWidth="1"/>
    <col min="32" max="32" width="12.7265625" style="17" bestFit="1" customWidth="1"/>
    <col min="33" max="16384" width="9" style="17"/>
  </cols>
  <sheetData>
    <row r="1" spans="2:33" ht="13.5" customHeight="1" x14ac:dyDescent="0.2">
      <c r="B1" s="257" t="s">
        <v>244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89"/>
      <c r="Q1" s="16"/>
      <c r="R1" s="89"/>
      <c r="S1" s="257" t="s">
        <v>190</v>
      </c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89"/>
      <c r="AF1" s="89"/>
    </row>
    <row r="2" spans="2:33" ht="21.5" thickBot="1" x14ac:dyDescent="0.25"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89"/>
      <c r="Q2" s="16"/>
      <c r="R2" s="89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89"/>
      <c r="AF2" s="89"/>
    </row>
    <row r="3" spans="2:33" ht="13.5" thickBot="1" x14ac:dyDescent="0.25">
      <c r="B3" s="18"/>
      <c r="C3" s="104"/>
      <c r="D3" s="18"/>
      <c r="E3" s="18"/>
      <c r="F3" s="18"/>
      <c r="G3" s="18"/>
      <c r="H3" s="18"/>
      <c r="I3" s="18"/>
      <c r="J3" s="18"/>
      <c r="K3" s="18"/>
      <c r="L3" s="18"/>
      <c r="M3" s="18"/>
      <c r="N3" s="82" t="s">
        <v>93</v>
      </c>
      <c r="O3" s="18" t="s">
        <v>240</v>
      </c>
      <c r="P3" s="18"/>
      <c r="Q3" s="18"/>
      <c r="R3" s="225" t="s">
        <v>52</v>
      </c>
      <c r="S3" s="216" t="s">
        <v>67</v>
      </c>
      <c r="T3" s="333" t="s">
        <v>191</v>
      </c>
      <c r="U3" s="113" t="s">
        <v>86</v>
      </c>
      <c r="V3" s="239" t="s">
        <v>120</v>
      </c>
      <c r="W3" s="240"/>
      <c r="X3" s="241"/>
      <c r="Y3" s="245" t="s">
        <v>85</v>
      </c>
      <c r="Z3" s="246"/>
      <c r="AA3" s="246"/>
      <c r="AB3" s="246"/>
      <c r="AC3" s="246"/>
      <c r="AD3" s="247"/>
      <c r="AE3" s="228" t="s">
        <v>125</v>
      </c>
      <c r="AF3" s="229"/>
    </row>
    <row r="4" spans="2:33" ht="14.25" customHeight="1" thickBot="1" x14ac:dyDescent="0.25">
      <c r="B4" s="219" t="s">
        <v>172</v>
      </c>
      <c r="C4" s="220"/>
      <c r="D4" s="221"/>
      <c r="E4" s="222"/>
      <c r="G4" s="271" t="s">
        <v>177</v>
      </c>
      <c r="H4" s="272"/>
      <c r="I4" s="272"/>
      <c r="J4" s="272"/>
      <c r="K4" s="273"/>
      <c r="M4" s="271" t="s">
        <v>180</v>
      </c>
      <c r="N4" s="272"/>
      <c r="O4" s="273"/>
      <c r="R4" s="226"/>
      <c r="S4" s="217"/>
      <c r="T4" s="334"/>
      <c r="U4" s="342" t="s">
        <v>165</v>
      </c>
      <c r="V4" s="312" t="s">
        <v>82</v>
      </c>
      <c r="W4" s="242" t="s">
        <v>81</v>
      </c>
      <c r="X4" s="255" t="s">
        <v>238</v>
      </c>
      <c r="Y4" s="253" t="s">
        <v>166</v>
      </c>
      <c r="Z4" s="232" t="s">
        <v>139</v>
      </c>
      <c r="AA4" s="232" t="s">
        <v>167</v>
      </c>
      <c r="AB4" s="248" t="s">
        <v>185</v>
      </c>
      <c r="AC4" s="236" t="s">
        <v>124</v>
      </c>
      <c r="AD4" s="251" t="s">
        <v>168</v>
      </c>
      <c r="AE4" s="234" t="s">
        <v>169</v>
      </c>
      <c r="AF4" s="230" t="s">
        <v>83</v>
      </c>
    </row>
    <row r="5" spans="2:33" ht="13.5" thickBot="1" x14ac:dyDescent="0.25">
      <c r="B5" s="185" t="s">
        <v>198</v>
      </c>
      <c r="C5" s="186"/>
      <c r="D5" s="187">
        <v>42278</v>
      </c>
      <c r="E5" s="188"/>
      <c r="G5" s="351" t="s">
        <v>50</v>
      </c>
      <c r="H5" s="328" t="s">
        <v>45</v>
      </c>
      <c r="I5" s="329"/>
      <c r="J5" s="330"/>
      <c r="K5" s="19">
        <f>290000*1.08</f>
        <v>313200</v>
      </c>
      <c r="M5" s="358" t="s">
        <v>72</v>
      </c>
      <c r="N5" s="359"/>
      <c r="O5" s="80">
        <v>43830</v>
      </c>
      <c r="R5" s="226"/>
      <c r="S5" s="217"/>
      <c r="T5" s="334"/>
      <c r="U5" s="343"/>
      <c r="V5" s="313"/>
      <c r="W5" s="243"/>
      <c r="X5" s="256"/>
      <c r="Y5" s="254"/>
      <c r="Z5" s="233"/>
      <c r="AA5" s="233"/>
      <c r="AB5" s="249"/>
      <c r="AC5" s="237"/>
      <c r="AD5" s="252"/>
      <c r="AE5" s="235"/>
      <c r="AF5" s="231"/>
    </row>
    <row r="6" spans="2:33" ht="13.5" thickBot="1" x14ac:dyDescent="0.25">
      <c r="B6" s="185" t="s">
        <v>206</v>
      </c>
      <c r="C6" s="186"/>
      <c r="D6" s="193">
        <v>1</v>
      </c>
      <c r="E6" s="194"/>
      <c r="G6" s="352"/>
      <c r="H6" s="327" t="s">
        <v>46</v>
      </c>
      <c r="I6" s="319"/>
      <c r="J6" s="320"/>
      <c r="K6" s="20">
        <f>K5*D12</f>
        <v>7830000</v>
      </c>
      <c r="L6" s="21"/>
      <c r="M6" s="331" t="s">
        <v>103</v>
      </c>
      <c r="N6" s="332"/>
      <c r="O6" s="81">
        <v>6500</v>
      </c>
      <c r="R6" s="227"/>
      <c r="S6" s="218"/>
      <c r="T6" s="335"/>
      <c r="U6" s="343"/>
      <c r="V6" s="313"/>
      <c r="W6" s="244"/>
      <c r="X6" s="256"/>
      <c r="Y6" s="254"/>
      <c r="Z6" s="233"/>
      <c r="AA6" s="233"/>
      <c r="AB6" s="250"/>
      <c r="AC6" s="238"/>
      <c r="AD6" s="252"/>
      <c r="AE6" s="235"/>
      <c r="AF6" s="231"/>
      <c r="AG6" s="17" t="s">
        <v>230</v>
      </c>
    </row>
    <row r="7" spans="2:33" ht="13.5" customHeight="1" thickBot="1" x14ac:dyDescent="0.25">
      <c r="B7" s="185" t="s">
        <v>233</v>
      </c>
      <c r="C7" s="186"/>
      <c r="D7" s="285"/>
      <c r="E7" s="285"/>
      <c r="G7" s="352"/>
      <c r="H7" s="318" t="s">
        <v>228</v>
      </c>
      <c r="I7" s="319"/>
      <c r="J7" s="320"/>
      <c r="K7" s="20">
        <f>D10</f>
        <v>0</v>
      </c>
      <c r="M7" s="278" t="s">
        <v>65</v>
      </c>
      <c r="N7" s="24" t="s">
        <v>64</v>
      </c>
      <c r="O7" s="83">
        <v>0.55000000000000004</v>
      </c>
      <c r="R7" s="25">
        <v>1</v>
      </c>
      <c r="S7" s="26">
        <v>0.8</v>
      </c>
      <c r="T7" s="128">
        <f>VLOOKUP(AG7,system!$G$16:$H$67,2,FALSE)</f>
        <v>0.08</v>
      </c>
      <c r="U7" s="27">
        <f>シミュレーション設定!$D$30*シミュレーション設定!$D$12*(1-シミュレーション設定!$D$16)^(R7-1)</f>
        <v>27175</v>
      </c>
      <c r="V7" s="27">
        <f>IF(R7&lt;=system!$M$6,シミュレーション設定!$D$21*IF(system!M3=1,(1+T7),1),シミュレーション設定!$D$22)*IF(system!$M$7=1,シミュレーション設定!U7,シミュレーション設定!U7-シミュレーション設定!$D$31)</f>
        <v>731187.00000000012</v>
      </c>
      <c r="W7" s="29">
        <f>IF(system!$M$7=1,0,1)*シミュレーション設定!$D$23*シミュレーション設定!$D$31</f>
        <v>70113.749999999985</v>
      </c>
      <c r="X7" s="30">
        <f>V7+W7</f>
        <v>801300.75000000012</v>
      </c>
      <c r="Y7" s="31">
        <f t="shared" ref="Y7:Y26" si="0">IF($D$18+1=R7,-1*$K$20*$E$18,-1*IF($D$19=0,0,IF(R7&lt;=($D$18+$E$18/12),$K$21,0)))</f>
        <v>-734678.78925435175</v>
      </c>
      <c r="Z7" s="31">
        <f t="shared" ref="Z7:Z26" si="1">-1*IF(MOD(R7,$D$27)=0,$D$25,0)*$D$26</f>
        <v>0</v>
      </c>
      <c r="AA7" s="31">
        <f>-1*$O$22*$O$23*S7*IF(R7&lt;=パラメータ類!$J$84,パラメータ類!$K$84,1)</f>
        <v>-9211.6655210041863</v>
      </c>
      <c r="AB7" s="93">
        <f t="shared" ref="AB7:AB36" si="2">IF(IF(R7&lt;=$O$28,V7-$O$29,V7-200000)&gt;0,IF(R7&lt;=$O$28,V7-$O$29,V7-200000),0)</f>
        <v>221045.82352941186</v>
      </c>
      <c r="AC7" s="93">
        <f>AB7*IF((AB7+$O$27*10000)&lt;200000,$O$32-$O$31,$O$32)</f>
        <v>48851.127000000022</v>
      </c>
      <c r="AD7" s="32">
        <f>(Y7+Z7+S7+AA7-AC7)</f>
        <v>-792740.78177535592</v>
      </c>
      <c r="AE7" s="33">
        <f>X7+AD7</f>
        <v>8559.9682246441953</v>
      </c>
      <c r="AF7" s="28">
        <f>AE7</f>
        <v>8559.9682246441953</v>
      </c>
      <c r="AG7" s="17">
        <f>YEAR($D$5)</f>
        <v>2015</v>
      </c>
    </row>
    <row r="8" spans="2:33" x14ac:dyDescent="0.2">
      <c r="B8" s="323" t="s">
        <v>33</v>
      </c>
      <c r="C8" s="324"/>
      <c r="D8" s="283">
        <v>25</v>
      </c>
      <c r="E8" s="284"/>
      <c r="G8" s="352"/>
      <c r="H8" s="327" t="s">
        <v>150</v>
      </c>
      <c r="I8" s="319"/>
      <c r="J8" s="320"/>
      <c r="K8" s="105">
        <f>D10+D11</f>
        <v>200000</v>
      </c>
      <c r="M8" s="279"/>
      <c r="N8" s="34" t="s">
        <v>59</v>
      </c>
      <c r="O8" s="15">
        <v>0.8</v>
      </c>
      <c r="R8" s="35">
        <v>2</v>
      </c>
      <c r="S8" s="36">
        <v>0.75</v>
      </c>
      <c r="T8" s="128">
        <f>VLOOKUP(AG8,system!$G$16:$H$67,2,FALSE)</f>
        <v>0.08</v>
      </c>
      <c r="U8" s="37">
        <f>シミュレーション設定!$D$30*シミュレーション設定!$D$12*(1-シミュレーション設定!$D$16)^(R8-1)</f>
        <v>26903.25</v>
      </c>
      <c r="V8" s="37">
        <f>IF(R8&lt;=system!$M$6,シミュレーション設定!$D$21*IF(system!M4=1,(1+T8),1),シミュレーション設定!$D$22)*IF(system!$M$7=1,シミュレーション設定!U8,シミュレーション設定!U8-シミュレーション設定!$D$31)</f>
        <v>669687.75</v>
      </c>
      <c r="W8" s="39">
        <f>IF(system!$M$7=1,0,1)*シミュレーション設定!$D$23*シミュレーション設定!$D$31</f>
        <v>70113.749999999985</v>
      </c>
      <c r="X8" s="40">
        <f t="shared" ref="X8:X26" si="3">V8+W8</f>
        <v>739801.5</v>
      </c>
      <c r="Y8" s="41">
        <f t="shared" si="0"/>
        <v>-734678.78925435175</v>
      </c>
      <c r="Z8" s="41">
        <f t="shared" si="1"/>
        <v>0</v>
      </c>
      <c r="AA8" s="41">
        <f>-1*$O$22*$O$23*S8*IF(R8&lt;=パラメータ類!$J$84,パラメータ類!$K$84,1)</f>
        <v>-8635.9364259414251</v>
      </c>
      <c r="AB8" s="94">
        <f t="shared" si="2"/>
        <v>159546.57352941175</v>
      </c>
      <c r="AC8" s="94">
        <f t="shared" ref="AC8:AC36" si="4">AB8*IF((AB8+$O$27*10000)&lt;200000,$O$32-$O$31,$O$32)</f>
        <v>3350.4780441176454</v>
      </c>
      <c r="AD8" s="42">
        <f t="shared" ref="AD8:AD26" si="5">(Y8+Z8+S8+AA8-AC8)</f>
        <v>-746664.45372441085</v>
      </c>
      <c r="AE8" s="43">
        <f t="shared" ref="AE8:AE26" si="6">X8+AD8</f>
        <v>-6862.9537244108506</v>
      </c>
      <c r="AF8" s="38">
        <f t="shared" ref="AF8:AF26" si="7">AE8+AF7</f>
        <v>1697.0145002333447</v>
      </c>
      <c r="AG8" s="17">
        <f>AG7+1</f>
        <v>2016</v>
      </c>
    </row>
    <row r="9" spans="2:33" x14ac:dyDescent="0.2">
      <c r="B9" s="356" t="s">
        <v>205</v>
      </c>
      <c r="C9" s="357"/>
      <c r="D9" s="283">
        <v>0</v>
      </c>
      <c r="E9" s="284"/>
      <c r="G9" s="352"/>
      <c r="H9" s="327"/>
      <c r="I9" s="319"/>
      <c r="J9" s="320"/>
      <c r="K9" s="23"/>
      <c r="M9" s="279"/>
      <c r="N9" s="34" t="s">
        <v>60</v>
      </c>
      <c r="O9" s="15">
        <v>0.85</v>
      </c>
      <c r="R9" s="35">
        <v>3</v>
      </c>
      <c r="S9" s="36">
        <v>0.7</v>
      </c>
      <c r="T9" s="129">
        <f>VLOOKUP(AG9,system!$G$16:$H$67,2,FALSE)</f>
        <v>0.1</v>
      </c>
      <c r="U9" s="37">
        <f>シミュレーション設定!$D$30*シミュレーション設定!$D$12*(1-シミュレーション設定!$D$16)^(R9-1)</f>
        <v>26634.217499999999</v>
      </c>
      <c r="V9" s="37">
        <f>IF(R9&lt;=system!$M$6,シミュレーション設定!$D$21*IF(system!M5=1,(1+T9),1),シミュレーション設定!$D$22)*IF(system!$M$7=1,シミュレーション設定!U9,シミュレーション設定!U9-シミュレーション設定!$D$31)</f>
        <v>662423.87249999994</v>
      </c>
      <c r="W9" s="39">
        <f>IF(system!$M$7=1,0,1)*シミュレーション設定!$D$23*シミュレーション設定!$D$31</f>
        <v>70113.749999999985</v>
      </c>
      <c r="X9" s="40">
        <f t="shared" si="3"/>
        <v>732537.62249999994</v>
      </c>
      <c r="Y9" s="41">
        <f t="shared" si="0"/>
        <v>-734678.78925435175</v>
      </c>
      <c r="Z9" s="41">
        <f t="shared" si="1"/>
        <v>0</v>
      </c>
      <c r="AA9" s="41">
        <f>-1*$O$22*$O$23*S9*IF(R9&lt;=パラメータ類!$J$84,パラメータ類!$K$84,1)</f>
        <v>-8060.2073308786621</v>
      </c>
      <c r="AB9" s="94">
        <f t="shared" si="2"/>
        <v>152282.69602941169</v>
      </c>
      <c r="AC9" s="94">
        <f t="shared" si="4"/>
        <v>3197.9366166176442</v>
      </c>
      <c r="AD9" s="42">
        <f t="shared" si="5"/>
        <v>-745936.23320184811</v>
      </c>
      <c r="AE9" s="43">
        <f t="shared" si="6"/>
        <v>-13398.610701848171</v>
      </c>
      <c r="AF9" s="38">
        <f t="shared" si="7"/>
        <v>-11701.596201614826</v>
      </c>
      <c r="AG9" s="17">
        <f t="shared" ref="AG9:AG36" si="8">AG8+1</f>
        <v>2017</v>
      </c>
    </row>
    <row r="10" spans="2:33" ht="13.5" thickBot="1" x14ac:dyDescent="0.25">
      <c r="B10" s="349" t="s">
        <v>227</v>
      </c>
      <c r="C10" s="324"/>
      <c r="D10" s="267">
        <v>0</v>
      </c>
      <c r="E10" s="268"/>
      <c r="G10" s="352"/>
      <c r="H10" s="344" t="s">
        <v>47</v>
      </c>
      <c r="I10" s="345"/>
      <c r="J10" s="346"/>
      <c r="K10" s="76">
        <v>0</v>
      </c>
      <c r="M10" s="279"/>
      <c r="N10" s="34" t="s">
        <v>61</v>
      </c>
      <c r="O10" s="15">
        <v>0.95</v>
      </c>
      <c r="R10" s="35">
        <v>4</v>
      </c>
      <c r="S10" s="36">
        <v>0.67</v>
      </c>
      <c r="T10" s="129">
        <f>VLOOKUP(AG10,system!$G$16:$H$67,2,FALSE)</f>
        <v>0.1</v>
      </c>
      <c r="U10" s="37">
        <f>シミュレーション設定!$D$30*シミュレーション設定!$D$12*(1-シミュレーション設定!$D$16)^(R10-1)</f>
        <v>26367.875324999997</v>
      </c>
      <c r="V10" s="37">
        <f>IF(R10&lt;=system!$M$6,シミュレーション設定!$D$21*IF(system!M6=1,(1+T10),1),シミュレーション設定!$D$22)*IF(system!$M$7=1,シミュレーション設定!U10,シミュレーション設定!U10-シミュレーション設定!$D$31)</f>
        <v>655232.63377499988</v>
      </c>
      <c r="W10" s="39">
        <f>IF(system!$M$7=1,0,1)*シミュレーション設定!$D$23*シミュレーション設定!$D$31</f>
        <v>70113.749999999985</v>
      </c>
      <c r="X10" s="40">
        <f t="shared" si="3"/>
        <v>725346.38377499988</v>
      </c>
      <c r="Y10" s="41">
        <f t="shared" si="0"/>
        <v>-734678.78925435175</v>
      </c>
      <c r="Z10" s="41">
        <f t="shared" si="1"/>
        <v>0</v>
      </c>
      <c r="AA10" s="41">
        <f>-1*$O$22*$O$23*S10*IF(R10&lt;=パラメータ類!$J$84,パラメータ類!$K$84,1)</f>
        <v>-7714.7698738410063</v>
      </c>
      <c r="AB10" s="94">
        <f t="shared" si="2"/>
        <v>145091.45730441163</v>
      </c>
      <c r="AC10" s="94">
        <f t="shared" si="4"/>
        <v>3046.920603392643</v>
      </c>
      <c r="AD10" s="42">
        <f t="shared" si="5"/>
        <v>-745439.80973158532</v>
      </c>
      <c r="AE10" s="43">
        <f t="shared" si="6"/>
        <v>-20093.425956585445</v>
      </c>
      <c r="AF10" s="38">
        <f t="shared" si="7"/>
        <v>-31795.02215820027</v>
      </c>
      <c r="AG10" s="17">
        <f t="shared" si="8"/>
        <v>2018</v>
      </c>
    </row>
    <row r="11" spans="2:33" ht="13.5" thickBot="1" x14ac:dyDescent="0.25">
      <c r="B11" s="336" t="s">
        <v>197</v>
      </c>
      <c r="C11" s="337"/>
      <c r="D11" s="338">
        <f>IF(D8&gt;=10,200000,0)</f>
        <v>200000</v>
      </c>
      <c r="E11" s="339"/>
      <c r="G11" s="353"/>
      <c r="H11" s="75"/>
      <c r="I11" s="196" t="s">
        <v>229</v>
      </c>
      <c r="J11" s="197"/>
      <c r="K11" s="44">
        <f>SUM(K6:K9)*system!M5-K10</f>
        <v>8672400</v>
      </c>
      <c r="M11" s="279"/>
      <c r="N11" s="34" t="s">
        <v>62</v>
      </c>
      <c r="O11" s="15">
        <v>1</v>
      </c>
      <c r="R11" s="45">
        <v>5</v>
      </c>
      <c r="S11" s="46">
        <v>0.64</v>
      </c>
      <c r="T11" s="130">
        <f>VLOOKUP(AG11,system!$G$16:$H$67,2,FALSE)</f>
        <v>0.1</v>
      </c>
      <c r="U11" s="47">
        <f>シミュレーション設定!$D$30*シミュレーション設定!$D$12*(1-シミュレーション設定!$D$16)^(R11-1)</f>
        <v>26104.196571749999</v>
      </c>
      <c r="V11" s="47">
        <f>IF(R11&lt;=system!$M$6,シミュレーション設定!$D$21*IF(system!M7=1,(1+T11),1),シミュレーション設定!$D$22)*IF(system!$M$7=1,シミュレーション設定!U11,シミュレーション設定!U11-シミュレーション設定!$D$31)</f>
        <v>648113.30743724992</v>
      </c>
      <c r="W11" s="49">
        <f>IF(system!$M$7=1,0,1)*シミュレーション設定!$D$23*シミュレーション設定!$D$31</f>
        <v>70113.749999999985</v>
      </c>
      <c r="X11" s="50">
        <f t="shared" si="3"/>
        <v>718227.05743724992</v>
      </c>
      <c r="Y11" s="51">
        <f t="shared" si="0"/>
        <v>-734678.78925435175</v>
      </c>
      <c r="Z11" s="51">
        <f t="shared" si="1"/>
        <v>0</v>
      </c>
      <c r="AA11" s="51">
        <f>-1*$O$22*$O$23*S11*IF(R11&lt;=パラメータ類!$J$84,パラメータ類!$K$84,1)</f>
        <v>-7369.3324168033496</v>
      </c>
      <c r="AB11" s="95">
        <f t="shared" si="2"/>
        <v>137972.13096666167</v>
      </c>
      <c r="AC11" s="95">
        <f t="shared" si="4"/>
        <v>2897.414750299894</v>
      </c>
      <c r="AD11" s="52">
        <f t="shared" si="5"/>
        <v>-744944.89642145496</v>
      </c>
      <c r="AE11" s="53">
        <f t="shared" si="6"/>
        <v>-26717.838984205038</v>
      </c>
      <c r="AF11" s="48">
        <f t="shared" si="7"/>
        <v>-58512.861142405309</v>
      </c>
      <c r="AG11" s="17">
        <f t="shared" si="8"/>
        <v>2019</v>
      </c>
    </row>
    <row r="12" spans="2:33" ht="14" thickTop="1" thickBot="1" x14ac:dyDescent="0.25">
      <c r="B12" s="354" t="s">
        <v>164</v>
      </c>
      <c r="C12" s="355"/>
      <c r="D12" s="347">
        <f>D8</f>
        <v>25</v>
      </c>
      <c r="E12" s="348"/>
      <c r="G12" s="271" t="s">
        <v>182</v>
      </c>
      <c r="H12" s="272"/>
      <c r="I12" s="272"/>
      <c r="J12" s="272"/>
      <c r="K12" s="273"/>
      <c r="M12" s="279"/>
      <c r="N12" s="34" t="s">
        <v>63</v>
      </c>
      <c r="O12" s="15">
        <v>1</v>
      </c>
      <c r="R12" s="35">
        <v>6</v>
      </c>
      <c r="S12" s="36">
        <v>0.62</v>
      </c>
      <c r="T12" s="129">
        <f>VLOOKUP(AG12,system!$G$16:$H$67,2,FALSE)</f>
        <v>0.1</v>
      </c>
      <c r="U12" s="37">
        <f>シミュレーション設定!$D$30*シミュレーション設定!$D$12*(1-シミュレーション設定!$D$16)^(R12-1)</f>
        <v>25843.154606032498</v>
      </c>
      <c r="V12" s="37">
        <f>IF(R12&lt;=system!$M$6,シミュレーション設定!$D$21*IF(system!M8=1,(1+T12),1),シミュレーション設定!$D$22)*IF(system!$M$7=1,シミュレーション設定!U12,シミュレーション設定!U12-シミュレーション設定!$D$31)</f>
        <v>641065.1743628775</v>
      </c>
      <c r="W12" s="39">
        <f>IF(system!$M$7=1,0,1)*シミュレーション設定!$D$23*シミュレーション設定!$D$31</f>
        <v>70113.749999999985</v>
      </c>
      <c r="X12" s="40">
        <f t="shared" si="3"/>
        <v>711178.9243628775</v>
      </c>
      <c r="Y12" s="41">
        <f t="shared" si="0"/>
        <v>-734678.78925435175</v>
      </c>
      <c r="Z12" s="41">
        <f t="shared" si="1"/>
        <v>0</v>
      </c>
      <c r="AA12" s="41">
        <f>-1*$O$22*$O$23*S12*IF(R12&lt;=パラメータ類!$J$84,パラメータ類!$K$84,1)</f>
        <v>-14278.081557556488</v>
      </c>
      <c r="AB12" s="94">
        <f t="shared" si="2"/>
        <v>130923.99789228925</v>
      </c>
      <c r="AC12" s="94">
        <f t="shared" si="4"/>
        <v>2749.4039557380729</v>
      </c>
      <c r="AD12" s="42">
        <f t="shared" si="5"/>
        <v>-751705.65476764634</v>
      </c>
      <c r="AE12" s="43">
        <f t="shared" si="6"/>
        <v>-40526.730404768838</v>
      </c>
      <c r="AF12" s="38">
        <f t="shared" si="7"/>
        <v>-99039.591547174146</v>
      </c>
      <c r="AG12" s="17">
        <f t="shared" si="8"/>
        <v>2020</v>
      </c>
    </row>
    <row r="13" spans="2:33" ht="18" customHeight="1" thickBot="1" x14ac:dyDescent="0.25">
      <c r="B13" s="189" t="s">
        <v>204</v>
      </c>
      <c r="C13" s="190"/>
      <c r="D13" s="191">
        <f>IF(D8&gt;=10,system!C3,system!B3)</f>
        <v>290000</v>
      </c>
      <c r="E13" s="192"/>
      <c r="F13" s="54"/>
      <c r="G13" s="288" t="s">
        <v>49</v>
      </c>
      <c r="H13" s="289"/>
      <c r="I13" s="289"/>
      <c r="J13" s="197"/>
      <c r="K13" s="87">
        <f>-SUM($Y$7:$Y$36)-K11</f>
        <v>878424.26030657254</v>
      </c>
      <c r="M13" s="280"/>
      <c r="N13" s="55" t="s">
        <v>65</v>
      </c>
      <c r="O13" s="22">
        <f>O8*O9*O10*O11*O12*O7</f>
        <v>0.35530000000000006</v>
      </c>
      <c r="R13" s="35">
        <v>7</v>
      </c>
      <c r="S13" s="36">
        <v>0.59</v>
      </c>
      <c r="T13" s="129">
        <f>VLOOKUP(AG13,system!$G$16:$H$67,2,FALSE)</f>
        <v>0.1</v>
      </c>
      <c r="U13" s="37">
        <f>シミュレーション設定!$D$30*シミュレーション設定!$D$12*(1-シミュレーション設定!$D$16)^(R13-1)</f>
        <v>25584.723059972173</v>
      </c>
      <c r="V13" s="37">
        <f>IF(R13&lt;=system!$M$6,シミュレーション設定!$D$21*IF(system!M9=1,(1+T13),1),シミュレーション設定!$D$22)*IF(system!$M$7=1,シミュレーション設定!U13,シミュレーション設定!U13-シミュレーション設定!$D$31)</f>
        <v>634087.52261924872</v>
      </c>
      <c r="W13" s="39">
        <f>IF(system!$M$7=1,0,1)*シミュレーション設定!$D$23*シミュレーション設定!$D$31</f>
        <v>70113.749999999985</v>
      </c>
      <c r="X13" s="40">
        <f t="shared" si="3"/>
        <v>704201.27261924872</v>
      </c>
      <c r="Y13" s="41">
        <f t="shared" si="0"/>
        <v>-734678.78925435175</v>
      </c>
      <c r="Z13" s="41">
        <f t="shared" si="1"/>
        <v>0</v>
      </c>
      <c r="AA13" s="41">
        <f>-1*$O$22*$O$23*S13*IF(R13&lt;=パラメータ類!$J$84,パラメータ類!$K$84,1)</f>
        <v>-13587.206643481175</v>
      </c>
      <c r="AB13" s="94">
        <f t="shared" si="2"/>
        <v>123946.34614866046</v>
      </c>
      <c r="AC13" s="94">
        <f t="shared" si="4"/>
        <v>2602.8732691218688</v>
      </c>
      <c r="AD13" s="42">
        <f t="shared" si="5"/>
        <v>-750868.2791669548</v>
      </c>
      <c r="AE13" s="43">
        <f t="shared" si="6"/>
        <v>-46667.006547706085</v>
      </c>
      <c r="AF13" s="38">
        <f t="shared" si="7"/>
        <v>-145706.59809488023</v>
      </c>
      <c r="AG13" s="17">
        <f t="shared" si="8"/>
        <v>2021</v>
      </c>
    </row>
    <row r="14" spans="2:33" ht="13.5" thickBot="1" x14ac:dyDescent="0.25">
      <c r="B14" s="325" t="s">
        <v>196</v>
      </c>
      <c r="C14" s="326"/>
      <c r="D14" s="321">
        <f>D8*D13/10000</f>
        <v>725</v>
      </c>
      <c r="E14" s="322"/>
      <c r="G14" s="288" t="s">
        <v>51</v>
      </c>
      <c r="H14" s="289"/>
      <c r="I14" s="289"/>
      <c r="J14" s="197"/>
      <c r="K14" s="87">
        <f>K13+K11</f>
        <v>9550824.2603065725</v>
      </c>
      <c r="M14" s="209" t="s">
        <v>68</v>
      </c>
      <c r="N14" s="210"/>
      <c r="O14" s="56">
        <f>O5*O13</f>
        <v>15572.799000000003</v>
      </c>
      <c r="R14" s="35">
        <v>8</v>
      </c>
      <c r="S14" s="36">
        <v>0.56000000000000005</v>
      </c>
      <c r="T14" s="129">
        <f>VLOOKUP(AG14,system!$G$16:$H$67,2,FALSE)</f>
        <v>0.1</v>
      </c>
      <c r="U14" s="37">
        <f>シミュレーション設定!$D$30*シミュレーション設定!$D$12*(1-シミュレーション設定!$D$16)^(R14-1)</f>
        <v>25328.87582937245</v>
      </c>
      <c r="V14" s="37">
        <f>IF(R14&lt;=system!$M$6,シミュレーション設定!$D$21*IF(system!M10=1,(1+T14),1),シミュレーション設定!$D$22)*IF(system!$M$7=1,シミュレーション設定!U14,シミュレーション設定!U14-シミュレーション設定!$D$31)</f>
        <v>627179.64739305619</v>
      </c>
      <c r="W14" s="39">
        <f>IF(system!$M$7=1,0,1)*シミュレーション設定!$D$23*シミュレーション設定!$D$31</f>
        <v>70113.749999999985</v>
      </c>
      <c r="X14" s="40">
        <f t="shared" si="3"/>
        <v>697293.39739305619</v>
      </c>
      <c r="Y14" s="41">
        <f t="shared" si="0"/>
        <v>-734678.78925435175</v>
      </c>
      <c r="Z14" s="41">
        <f t="shared" si="1"/>
        <v>0</v>
      </c>
      <c r="AA14" s="41">
        <f>-1*$O$22*$O$23*S14*IF(R14&lt;=パラメータ類!$J$84,パラメータ類!$K$84,1)</f>
        <v>-12896.331729405862</v>
      </c>
      <c r="AB14" s="94">
        <f t="shared" si="2"/>
        <v>117038.47092246794</v>
      </c>
      <c r="AC14" s="94">
        <f t="shared" si="4"/>
        <v>2457.8078893718257</v>
      </c>
      <c r="AD14" s="42">
        <f t="shared" si="5"/>
        <v>-750032.36887312948</v>
      </c>
      <c r="AE14" s="43">
        <f t="shared" si="6"/>
        <v>-52738.971480073291</v>
      </c>
      <c r="AF14" s="38">
        <f t="shared" si="7"/>
        <v>-198445.56957495352</v>
      </c>
      <c r="AG14" s="17">
        <f t="shared" si="8"/>
        <v>2022</v>
      </c>
    </row>
    <row r="15" spans="2:33" ht="13.5" thickBot="1" x14ac:dyDescent="0.25">
      <c r="B15" s="195" t="s">
        <v>221</v>
      </c>
      <c r="C15" s="195"/>
      <c r="D15" s="195" t="str">
        <f>IF(system!M4=1,"設置義務あり","設置義務なし")</f>
        <v>設置義務なし</v>
      </c>
      <c r="E15" s="195"/>
      <c r="G15" s="271" t="s">
        <v>178</v>
      </c>
      <c r="H15" s="272"/>
      <c r="I15" s="272"/>
      <c r="J15" s="272"/>
      <c r="K15" s="273"/>
      <c r="L15" s="57"/>
      <c r="M15" s="276" t="s">
        <v>69</v>
      </c>
      <c r="N15" s="277"/>
      <c r="O15" s="58">
        <f>O13*O6</f>
        <v>2309.4500000000003</v>
      </c>
      <c r="R15" s="35">
        <v>9</v>
      </c>
      <c r="S15" s="36">
        <v>0.53</v>
      </c>
      <c r="T15" s="129">
        <f>VLOOKUP(AG15,system!$G$16:$H$67,2,FALSE)</f>
        <v>0.1</v>
      </c>
      <c r="U15" s="37">
        <f>シミュレーション設定!$D$30*シミュレーション設定!$D$12*(1-シミュレーション設定!$D$16)^(R15-1)</f>
        <v>25075.587071078724</v>
      </c>
      <c r="V15" s="37">
        <f>IF(R15&lt;=system!$M$6,シミュレーション設定!$D$21*IF(system!M11=1,(1+T15),1),シミュレーション設定!$D$22)*IF(system!$M$7=1,シミュレーション設定!U15,シミュレーション設定!U15-シミュレーション設定!$D$31)</f>
        <v>620340.8509191256</v>
      </c>
      <c r="W15" s="39">
        <f>IF(system!$M$7=1,0,1)*シミュレーション設定!$D$23*シミュレーション設定!$D$31</f>
        <v>70113.749999999985</v>
      </c>
      <c r="X15" s="40">
        <f t="shared" si="3"/>
        <v>690454.6009191256</v>
      </c>
      <c r="Y15" s="41">
        <f t="shared" si="0"/>
        <v>-734678.78925435175</v>
      </c>
      <c r="Z15" s="41">
        <f t="shared" si="1"/>
        <v>0</v>
      </c>
      <c r="AA15" s="41">
        <f>-1*$O$22*$O$23*S15*IF(R15&lt;=パラメータ類!$J$84,パラメータ類!$K$84,1)</f>
        <v>-12205.456815330548</v>
      </c>
      <c r="AB15" s="94">
        <f t="shared" si="2"/>
        <v>110199.67444853735</v>
      </c>
      <c r="AC15" s="94">
        <f t="shared" si="4"/>
        <v>2314.1931634192833</v>
      </c>
      <c r="AD15" s="42">
        <f t="shared" si="5"/>
        <v>-749197.90923310153</v>
      </c>
      <c r="AE15" s="43">
        <f t="shared" si="6"/>
        <v>-58743.308313975926</v>
      </c>
      <c r="AF15" s="38">
        <f t="shared" si="7"/>
        <v>-257188.87788892945</v>
      </c>
      <c r="AG15" s="17">
        <f t="shared" si="8"/>
        <v>2023</v>
      </c>
    </row>
    <row r="16" spans="2:33" ht="13.5" thickBot="1" x14ac:dyDescent="0.25">
      <c r="B16" s="286" t="s">
        <v>53</v>
      </c>
      <c r="C16" s="287"/>
      <c r="D16" s="301">
        <v>0.01</v>
      </c>
      <c r="E16" s="302"/>
      <c r="G16" s="299" t="s">
        <v>57</v>
      </c>
      <c r="H16" s="300"/>
      <c r="I16" s="300"/>
      <c r="J16" s="300"/>
      <c r="K16" s="120">
        <f>SUM(Z7:Z26)</f>
        <v>-400000</v>
      </c>
      <c r="M16" s="290" t="s">
        <v>66</v>
      </c>
      <c r="N16" s="291"/>
      <c r="O16" s="14">
        <f>39.7*3.30578512</f>
        <v>131.23966926400001</v>
      </c>
      <c r="R16" s="59">
        <v>10</v>
      </c>
      <c r="S16" s="60">
        <v>0.5</v>
      </c>
      <c r="T16" s="131">
        <f>VLOOKUP(AG16,system!$G$16:$H$67,2,FALSE)</f>
        <v>0.1</v>
      </c>
      <c r="U16" s="61">
        <f>シミュレーション設定!$D$30*シミュレーション設定!$D$12*(1-シミュレーション設定!$D$16)^(R16-1)</f>
        <v>24824.831200367935</v>
      </c>
      <c r="V16" s="61">
        <f>IF(R16&lt;=system!$M$6,シミュレーション設定!$D$21*IF(system!M12=1,(1+T16),1),シミュレーション設定!$D$22)*IF(system!$M$7=1,シミュレーション設定!U16,シミュレーション設定!U16-シミュレーション設定!$D$31)</f>
        <v>613570.44240993424</v>
      </c>
      <c r="W16" s="63">
        <f>IF(system!$M$7=1,0,1)*シミュレーション設定!$D$23*シミュレーション設定!$D$31</f>
        <v>70113.749999999985</v>
      </c>
      <c r="X16" s="64">
        <f t="shared" si="3"/>
        <v>683684.19240993424</v>
      </c>
      <c r="Y16" s="65">
        <f t="shared" si="0"/>
        <v>-734678.78925435175</v>
      </c>
      <c r="Z16" s="65">
        <f t="shared" si="1"/>
        <v>0</v>
      </c>
      <c r="AA16" s="65">
        <f>-1*$O$22*$O$23*S16*IF(R16&lt;=パラメータ類!$J$84,パラメータ類!$K$84,1)</f>
        <v>-11514.581901255233</v>
      </c>
      <c r="AB16" s="96">
        <f t="shared" si="2"/>
        <v>103429.26593934599</v>
      </c>
      <c r="AC16" s="96">
        <f t="shared" si="4"/>
        <v>2172.0145847262647</v>
      </c>
      <c r="AD16" s="66">
        <f t="shared" si="5"/>
        <v>-748364.88574033324</v>
      </c>
      <c r="AE16" s="67">
        <f t="shared" si="6"/>
        <v>-64680.693330398994</v>
      </c>
      <c r="AF16" s="62">
        <f t="shared" si="7"/>
        <v>-321869.57121932844</v>
      </c>
      <c r="AG16" s="17">
        <f t="shared" si="8"/>
        <v>2024</v>
      </c>
    </row>
    <row r="17" spans="2:33" ht="17.25" customHeight="1" thickBot="1" x14ac:dyDescent="0.25">
      <c r="B17" s="271" t="s">
        <v>173</v>
      </c>
      <c r="C17" s="272"/>
      <c r="D17" s="272"/>
      <c r="E17" s="273"/>
      <c r="G17" s="350" t="s">
        <v>58</v>
      </c>
      <c r="H17" s="195"/>
      <c r="I17" s="195"/>
      <c r="J17" s="195"/>
      <c r="K17" s="121">
        <f>SUM(AA7:AA26)</f>
        <v>-188608.85154256073</v>
      </c>
      <c r="L17" s="54"/>
      <c r="M17" s="209" t="s">
        <v>70</v>
      </c>
      <c r="N17" s="210"/>
      <c r="O17" s="56">
        <f>O16*O14</f>
        <v>2043768.9902747504</v>
      </c>
      <c r="P17" s="57"/>
      <c r="Q17" s="57"/>
      <c r="R17" s="35">
        <v>11</v>
      </c>
      <c r="S17" s="36">
        <v>0.48</v>
      </c>
      <c r="T17" s="129">
        <f>VLOOKUP(AG17,system!$G$16:$H$67,2,FALSE)</f>
        <v>0.1</v>
      </c>
      <c r="U17" s="37">
        <f>シミュレーション設定!$D$30*シミュレーション設定!$D$12*(1-シミュレーション設定!$D$16)^(R17-1)</f>
        <v>24576.582888364257</v>
      </c>
      <c r="V17" s="37">
        <f>IF(R17&lt;=system!$M$6,シミュレーション設定!$D$21*IF(system!M13=1,(1+T17),1),シミュレーション設定!$D$22)*IF(system!$M$7=1,シミュレーション設定!U17,シミュレーション設定!U17-シミュレーション設定!$D$31)</f>
        <v>606867.73798583494</v>
      </c>
      <c r="W17" s="39">
        <f>IF(system!$M$7=1,0,1)*シミュレーション設定!$D$23*シミュレーション設定!$D$31</f>
        <v>70113.749999999985</v>
      </c>
      <c r="X17" s="40">
        <f t="shared" si="3"/>
        <v>676981.48798583494</v>
      </c>
      <c r="Y17" s="41">
        <f t="shared" si="0"/>
        <v>-734678.78925435175</v>
      </c>
      <c r="Z17" s="41">
        <f t="shared" si="1"/>
        <v>-400000</v>
      </c>
      <c r="AA17" s="41">
        <f>-1*$O$22*$O$23*S17*IF(R17&lt;=パラメータ類!$J$84,パラメータ類!$K$84,1)</f>
        <v>-11053.998625205024</v>
      </c>
      <c r="AB17" s="94">
        <f t="shared" si="2"/>
        <v>96726.561515246693</v>
      </c>
      <c r="AC17" s="94">
        <f t="shared" si="4"/>
        <v>2031.2577918201796</v>
      </c>
      <c r="AD17" s="42">
        <f t="shared" si="5"/>
        <v>-1147763.5656713771</v>
      </c>
      <c r="AE17" s="43">
        <f t="shared" si="6"/>
        <v>-470782.07768554217</v>
      </c>
      <c r="AF17" s="38">
        <f t="shared" si="7"/>
        <v>-792651.64890487061</v>
      </c>
      <c r="AG17" s="17">
        <f t="shared" si="8"/>
        <v>2025</v>
      </c>
    </row>
    <row r="18" spans="2:33" ht="13.5" thickBot="1" x14ac:dyDescent="0.25">
      <c r="B18" s="281" t="s">
        <v>48</v>
      </c>
      <c r="C18" s="282"/>
      <c r="D18" s="102">
        <v>13</v>
      </c>
      <c r="E18" s="103">
        <v>0</v>
      </c>
      <c r="G18" s="264" t="s">
        <v>171</v>
      </c>
      <c r="H18" s="265"/>
      <c r="I18" s="265"/>
      <c r="J18" s="265"/>
      <c r="K18" s="122">
        <f>-1*SUM(AC7:AC26)</f>
        <v>-320759.78989184357</v>
      </c>
      <c r="M18" s="276" t="s">
        <v>71</v>
      </c>
      <c r="N18" s="277"/>
      <c r="O18" s="58">
        <f>O16*O15</f>
        <v>303091.45418174489</v>
      </c>
      <c r="R18" s="35">
        <v>12</v>
      </c>
      <c r="S18" s="36">
        <v>0.45</v>
      </c>
      <c r="T18" s="129">
        <f>VLOOKUP(AG18,system!$G$16:$H$67,2,FALSE)</f>
        <v>0.1</v>
      </c>
      <c r="U18" s="37">
        <f>シミュレーション設定!$D$30*シミュレーション設定!$D$12*(1-シミュレーション設定!$D$16)^(R18-1)</f>
        <v>24330.817059480614</v>
      </c>
      <c r="V18" s="37">
        <f>IF(R18&lt;=system!$M$6,シミュレーション設定!$D$21*IF(system!M14=1,(1+T18),1),シミュレーション設定!$D$22)*IF(system!$M$7=1,シミュレーション設定!U18,シミュレーション設定!U18-シミュレーション設定!$D$31)</f>
        <v>600232.06060597661</v>
      </c>
      <c r="W18" s="39">
        <f>IF(system!$M$7=1,0,1)*シミュレーション設定!$D$23*シミュレーション設定!$D$31</f>
        <v>70113.749999999985</v>
      </c>
      <c r="X18" s="40">
        <f t="shared" si="3"/>
        <v>670345.81060597661</v>
      </c>
      <c r="Y18" s="41">
        <f t="shared" si="0"/>
        <v>-734678.78925435175</v>
      </c>
      <c r="Z18" s="41">
        <f t="shared" si="1"/>
        <v>0</v>
      </c>
      <c r="AA18" s="41">
        <f>-1*$O$22*$O$23*S18*IF(R18&lt;=パラメータ類!$J$84,パラメータ類!$K$84,1)</f>
        <v>-10363.123711129711</v>
      </c>
      <c r="AB18" s="94">
        <f t="shared" si="2"/>
        <v>90090.884135388362</v>
      </c>
      <c r="AC18" s="94">
        <f t="shared" si="4"/>
        <v>1891.9085668431549</v>
      </c>
      <c r="AD18" s="42">
        <f t="shared" si="5"/>
        <v>-746933.3715323247</v>
      </c>
      <c r="AE18" s="43">
        <f t="shared" si="6"/>
        <v>-76587.560926348087</v>
      </c>
      <c r="AF18" s="38">
        <f t="shared" si="7"/>
        <v>-869239.2098312187</v>
      </c>
      <c r="AG18" s="17">
        <f t="shared" si="8"/>
        <v>2026</v>
      </c>
    </row>
    <row r="19" spans="2:33" s="54" customFormat="1" ht="13.5" thickBot="1" x14ac:dyDescent="0.25">
      <c r="B19" s="269" t="s">
        <v>35</v>
      </c>
      <c r="C19" s="270"/>
      <c r="D19" s="340">
        <v>1.4999999999999999E-2</v>
      </c>
      <c r="E19" s="341"/>
      <c r="F19" s="17"/>
      <c r="G19" s="271" t="s">
        <v>179</v>
      </c>
      <c r="H19" s="272"/>
      <c r="I19" s="272"/>
      <c r="J19" s="272"/>
      <c r="K19" s="273"/>
      <c r="L19" s="17"/>
      <c r="M19" s="205" t="s">
        <v>73</v>
      </c>
      <c r="N19" s="206"/>
      <c r="O19" s="68">
        <v>0.94499999999999995</v>
      </c>
      <c r="R19" s="35">
        <v>13</v>
      </c>
      <c r="S19" s="36">
        <v>0.42</v>
      </c>
      <c r="T19" s="129">
        <f>VLOOKUP(AG19,system!$G$16:$H$67,2,FALSE)</f>
        <v>0.1</v>
      </c>
      <c r="U19" s="37">
        <f>シミュレーション設定!$D$30*シミュレーション設定!$D$12*(1-シミュレーション設定!$D$16)^(R19-1)</f>
        <v>24087.508888885808</v>
      </c>
      <c r="V19" s="37">
        <f>IF(R19&lt;=system!$M$6,シミュレーション設定!$D$21*IF(system!M15=1,(1+T19),1),シミュレーション設定!$D$22)*IF(system!$M$7=1,シミュレーション設定!U19,シミュレーション設定!U19-シミュレーション設定!$D$31)</f>
        <v>593662.73999991687</v>
      </c>
      <c r="W19" s="39">
        <f>IF(system!$M$7=1,0,1)*シミュレーション設定!$D$23*シミュレーション設定!$D$31</f>
        <v>70113.749999999985</v>
      </c>
      <c r="X19" s="40">
        <f t="shared" si="3"/>
        <v>663776.48999991687</v>
      </c>
      <c r="Y19" s="41">
        <f t="shared" si="0"/>
        <v>-734678.78925435175</v>
      </c>
      <c r="Z19" s="41">
        <f t="shared" si="1"/>
        <v>0</v>
      </c>
      <c r="AA19" s="41">
        <f>-1*$O$22*$O$23*S19*IF(R19&lt;=パラメータ類!$J$84,パラメータ類!$K$84,1)</f>
        <v>-9672.2487970543953</v>
      </c>
      <c r="AB19" s="94">
        <f t="shared" si="2"/>
        <v>83521.563529328618</v>
      </c>
      <c r="AC19" s="94">
        <f t="shared" si="4"/>
        <v>1753.9528341159003</v>
      </c>
      <c r="AD19" s="42">
        <f t="shared" si="5"/>
        <v>-746104.57088552206</v>
      </c>
      <c r="AE19" s="43">
        <f t="shared" si="6"/>
        <v>-82328.080885605188</v>
      </c>
      <c r="AF19" s="38">
        <f t="shared" si="7"/>
        <v>-951567.29071682389</v>
      </c>
      <c r="AG19" s="17">
        <f t="shared" si="8"/>
        <v>2027</v>
      </c>
    </row>
    <row r="20" spans="2:33" x14ac:dyDescent="0.2">
      <c r="B20" s="219" t="s">
        <v>174</v>
      </c>
      <c r="C20" s="220"/>
      <c r="D20" s="221"/>
      <c r="E20" s="222"/>
      <c r="G20" s="211" t="str">
        <f>"1月の返済額("&amp;D18&amp;"年"&amp;E18&amp;"ヶ月)"</f>
        <v>1月の返済額(13年0ヶ月)</v>
      </c>
      <c r="H20" s="212"/>
      <c r="I20" s="212"/>
      <c r="J20" s="213"/>
      <c r="K20" s="123">
        <f>($K$11*$D$19/12*(1+$D$19/12)^($D$18*12+E18))/((1+$D$19/12)^($D$18*12+E18)-1)</f>
        <v>61223.232437862636</v>
      </c>
      <c r="M20" s="209" t="s">
        <v>74</v>
      </c>
      <c r="N20" s="210"/>
      <c r="O20" s="56">
        <f>O17*O19</f>
        <v>1931361.6958096391</v>
      </c>
      <c r="R20" s="35">
        <v>14</v>
      </c>
      <c r="S20" s="36">
        <v>0.39</v>
      </c>
      <c r="T20" s="129">
        <f>VLOOKUP(AG20,system!$G$16:$H$67,2,FALSE)</f>
        <v>0.1</v>
      </c>
      <c r="U20" s="37">
        <f>シミュレーション設定!$D$30*シミュレーション設定!$D$12*(1-シミュレーション設定!$D$16)^(R20-1)</f>
        <v>23846.633799996947</v>
      </c>
      <c r="V20" s="37">
        <f>IF(R20&lt;=system!$M$6,シミュレーション設定!$D$21*IF(system!M16=1,(1+T20),1),シミュレーション設定!$D$22)*IF(system!$M$7=1,シミュレーション設定!U20,シミュレーション設定!U20-シミュレーション設定!$D$31)</f>
        <v>587159.11259991757</v>
      </c>
      <c r="W20" s="39">
        <f>IF(system!$M$7=1,0,1)*シミュレーション設定!$D$23*シミュレーション設定!$D$31</f>
        <v>70113.749999999985</v>
      </c>
      <c r="X20" s="40">
        <f t="shared" si="3"/>
        <v>657272.86259991757</v>
      </c>
      <c r="Y20" s="41">
        <f t="shared" si="0"/>
        <v>0</v>
      </c>
      <c r="Z20" s="41">
        <f t="shared" si="1"/>
        <v>0</v>
      </c>
      <c r="AA20" s="41">
        <f>-1*$O$22*$O$23*S20*IF(R20&lt;=パラメータ類!$J$84,パラメータ類!$K$84,1)</f>
        <v>-8981.3738829790818</v>
      </c>
      <c r="AB20" s="94">
        <f t="shared" si="2"/>
        <v>77017.936129329319</v>
      </c>
      <c r="AC20" s="94">
        <f t="shared" si="4"/>
        <v>1617.376658715915</v>
      </c>
      <c r="AD20" s="42">
        <f t="shared" si="5"/>
        <v>-10598.360541694998</v>
      </c>
      <c r="AE20" s="43">
        <f t="shared" si="6"/>
        <v>646674.50205822254</v>
      </c>
      <c r="AF20" s="38">
        <f t="shared" si="7"/>
        <v>-304892.78865860135</v>
      </c>
      <c r="AG20" s="17">
        <f t="shared" si="8"/>
        <v>2028</v>
      </c>
    </row>
    <row r="21" spans="2:33" ht="13.5" thickBot="1" x14ac:dyDescent="0.25">
      <c r="B21" s="223" t="str">
        <f>IF(D8&gt;=10,"最初の20年間","最初の10年間")</f>
        <v>最初の20年間</v>
      </c>
      <c r="C21" s="224"/>
      <c r="D21" s="294">
        <f>VLOOKUP(system!M2,売電単価!$A$4:$Q$137,system!M8,FALSE)</f>
        <v>27</v>
      </c>
      <c r="E21" s="295"/>
      <c r="G21" s="264" t="str">
        <f>"1年間の返済額("&amp;D18&amp;"年"&amp;E18&amp;"ヶ月)"</f>
        <v>1年間の返済額(13年0ヶ月)</v>
      </c>
      <c r="H21" s="265"/>
      <c r="I21" s="265"/>
      <c r="J21" s="266"/>
      <c r="K21" s="86">
        <f>12*($K$11*$D$19/12*(1+$D$19/12)^($D$18*12+E18))/((1+$D$19/12)^($D$18*12+E18)-1)</f>
        <v>734678.78925435175</v>
      </c>
      <c r="M21" s="276" t="s">
        <v>75</v>
      </c>
      <c r="N21" s="277"/>
      <c r="O21" s="58">
        <f>O18*O19</f>
        <v>286421.42420174892</v>
      </c>
      <c r="R21" s="45">
        <v>15</v>
      </c>
      <c r="S21" s="46">
        <v>0.37</v>
      </c>
      <c r="T21" s="130">
        <f>VLOOKUP(AG21,system!$G$16:$H$67,2,FALSE)</f>
        <v>0.1</v>
      </c>
      <c r="U21" s="47">
        <f>シミュレーション設定!$D$30*シミュレーション設定!$D$12*(1-シミュレーション設定!$D$16)^(R21-1)</f>
        <v>23608.167461996982</v>
      </c>
      <c r="V21" s="47">
        <f>IF(R21&lt;=system!$M$6,シミュレーション設定!$D$21*IF(system!M17=1,(1+T21),1),シミュレーション設定!$D$22)*IF(system!$M$7=1,シミュレーション設定!U21,シミュレーション設定!U21-シミュレーション設定!$D$31)</f>
        <v>580720.52147391846</v>
      </c>
      <c r="W21" s="49">
        <f>IF(system!$M$7=1,0,1)*シミュレーション設定!$D$23*シミュレーション設定!$D$31</f>
        <v>70113.749999999985</v>
      </c>
      <c r="X21" s="50">
        <f t="shared" si="3"/>
        <v>650834.27147391846</v>
      </c>
      <c r="Y21" s="51">
        <f t="shared" si="0"/>
        <v>0</v>
      </c>
      <c r="Z21" s="51">
        <f t="shared" si="1"/>
        <v>0</v>
      </c>
      <c r="AA21" s="51">
        <f>-1*$O$22*$O$23*S21*IF(R21&lt;=パラメータ類!$J$84,パラメータ類!$K$84,1)</f>
        <v>-8520.7906069288729</v>
      </c>
      <c r="AB21" s="95">
        <f t="shared" si="2"/>
        <v>70579.345003330207</v>
      </c>
      <c r="AC21" s="95">
        <f t="shared" si="4"/>
        <v>1482.1662450699337</v>
      </c>
      <c r="AD21" s="52">
        <f t="shared" si="5"/>
        <v>-10002.586851998805</v>
      </c>
      <c r="AE21" s="53">
        <f t="shared" si="6"/>
        <v>640831.68462191964</v>
      </c>
      <c r="AF21" s="48">
        <f t="shared" si="7"/>
        <v>335938.8959633183</v>
      </c>
      <c r="AG21" s="17">
        <f t="shared" si="8"/>
        <v>2029</v>
      </c>
    </row>
    <row r="22" spans="2:33" x14ac:dyDescent="0.2">
      <c r="B22" s="223" t="str">
        <f>IF(D8&gt;=10,"21年目以降","11年目以降")</f>
        <v>21年目以降</v>
      </c>
      <c r="C22" s="224"/>
      <c r="D22" s="294">
        <v>10</v>
      </c>
      <c r="E22" s="295"/>
      <c r="M22" s="209" t="s">
        <v>104</v>
      </c>
      <c r="N22" s="210"/>
      <c r="O22" s="69">
        <f>O20-O21</f>
        <v>1644940.2716078903</v>
      </c>
      <c r="R22" s="35">
        <v>16</v>
      </c>
      <c r="S22" s="36">
        <v>0.34</v>
      </c>
      <c r="T22" s="129">
        <f>VLOOKUP(AG22,system!$G$16:$H$67,2,FALSE)</f>
        <v>0.1</v>
      </c>
      <c r="U22" s="37">
        <f>シミュレーション設定!$D$30*シミュレーション設定!$D$12*(1-シミュレーション設定!$D$16)^(R22-1)</f>
        <v>23372.085787377011</v>
      </c>
      <c r="V22" s="37">
        <f>IF(R22&lt;=system!$M$6,シミュレーション設定!$D$21*IF(system!M18=1,(1+T22),1),シミュレーション設定!$D$22)*IF(system!$M$7=1,シミュレーション設定!U22,シミュレーション設定!U22-シミュレーション設定!$D$31)</f>
        <v>574346.31625917926</v>
      </c>
      <c r="W22" s="39">
        <f>IF(system!$M$7=1,0,1)*シミュレーション設定!$D$23*シミュレーション設定!$D$31</f>
        <v>70113.749999999985</v>
      </c>
      <c r="X22" s="40">
        <f t="shared" si="3"/>
        <v>644460.06625917926</v>
      </c>
      <c r="Y22" s="41">
        <f t="shared" si="0"/>
        <v>0</v>
      </c>
      <c r="Z22" s="41">
        <f t="shared" si="1"/>
        <v>0</v>
      </c>
      <c r="AA22" s="41">
        <f>-1*$O$22*$O$23*S22*IF(R22&lt;=パラメータ類!$J$84,パラメータ類!$K$84,1)</f>
        <v>-7829.9156928535585</v>
      </c>
      <c r="AB22" s="94">
        <f t="shared" si="2"/>
        <v>64205.139788591012</v>
      </c>
      <c r="AC22" s="94">
        <f t="shared" si="4"/>
        <v>1348.3079355604107</v>
      </c>
      <c r="AD22" s="42">
        <f t="shared" si="5"/>
        <v>-9177.8836284139688</v>
      </c>
      <c r="AE22" s="43">
        <f t="shared" si="6"/>
        <v>635282.18263076525</v>
      </c>
      <c r="AF22" s="38">
        <f t="shared" si="7"/>
        <v>971221.07859408355</v>
      </c>
      <c r="AG22" s="17">
        <f t="shared" si="8"/>
        <v>2030</v>
      </c>
    </row>
    <row r="23" spans="2:33" ht="13.5" thickBot="1" x14ac:dyDescent="0.25">
      <c r="B23" s="297" t="s">
        <v>55</v>
      </c>
      <c r="C23" s="298"/>
      <c r="D23" s="274">
        <f>VLOOKUP(D6,system!$G$2:$I$11,3,FALSE)</f>
        <v>33.387499999999996</v>
      </c>
      <c r="E23" s="275"/>
      <c r="I23" s="85">
        <f>AF26</f>
        <v>3222877.2894061985</v>
      </c>
      <c r="K23" s="124"/>
      <c r="M23" s="207" t="s">
        <v>76</v>
      </c>
      <c r="N23" s="208"/>
      <c r="O23" s="70">
        <v>1.4E-2</v>
      </c>
      <c r="R23" s="35">
        <v>17</v>
      </c>
      <c r="S23" s="36">
        <v>0.32</v>
      </c>
      <c r="T23" s="129">
        <f>VLOOKUP(AG23,system!$G$16:$H$67,2,FALSE)</f>
        <v>0.1</v>
      </c>
      <c r="U23" s="37">
        <f>シミュレーション設定!$D$30*シミュレーション設定!$D$12*(1-シミュレーション設定!$D$16)^(R23-1)</f>
        <v>23138.364929503241</v>
      </c>
      <c r="V23" s="37">
        <f>IF(R23&lt;=system!$M$6,シミュレーション設定!$D$21*IF(system!M19=1,(1+T23),1),シミュレーション設定!$D$22)*IF(system!$M$7=1,シミュレーション設定!U23,シミュレーション設定!U23-シミュレーション設定!$D$31)</f>
        <v>568035.85309658747</v>
      </c>
      <c r="W23" s="39">
        <f>IF(system!$M$7=1,0,1)*シミュレーション設定!$D$23*シミュレーション設定!$D$31</f>
        <v>70113.749999999985</v>
      </c>
      <c r="X23" s="40">
        <f t="shared" si="3"/>
        <v>638149.60309658747</v>
      </c>
      <c r="Y23" s="41">
        <f t="shared" si="0"/>
        <v>0</v>
      </c>
      <c r="Z23" s="41">
        <f t="shared" si="1"/>
        <v>0</v>
      </c>
      <c r="AA23" s="41">
        <f>-1*$O$22*$O$23*S23*IF(R23&lt;=パラメータ類!$J$84,パラメータ類!$K$84,1)</f>
        <v>-7369.3324168033496</v>
      </c>
      <c r="AB23" s="94">
        <f t="shared" si="2"/>
        <v>57894.676625999215</v>
      </c>
      <c r="AC23" s="94">
        <f t="shared" si="4"/>
        <v>1215.788209145983</v>
      </c>
      <c r="AD23" s="42">
        <f t="shared" si="5"/>
        <v>-8584.8006259493322</v>
      </c>
      <c r="AE23" s="43">
        <f t="shared" si="6"/>
        <v>629564.80247063818</v>
      </c>
      <c r="AF23" s="38">
        <f t="shared" si="7"/>
        <v>1600785.8810647218</v>
      </c>
      <c r="AG23" s="17">
        <f t="shared" si="8"/>
        <v>2031</v>
      </c>
    </row>
    <row r="24" spans="2:33" ht="13.5" thickBot="1" x14ac:dyDescent="0.25">
      <c r="B24" s="219" t="s">
        <v>175</v>
      </c>
      <c r="C24" s="220"/>
      <c r="D24" s="221"/>
      <c r="E24" s="222"/>
      <c r="M24" s="276" t="s">
        <v>77</v>
      </c>
      <c r="N24" s="277"/>
      <c r="O24" s="58">
        <f>O22*O23*0.8</f>
        <v>18423.331042008373</v>
      </c>
      <c r="R24" s="35">
        <v>18</v>
      </c>
      <c r="S24" s="36">
        <v>0.3</v>
      </c>
      <c r="T24" s="129">
        <f>VLOOKUP(AG24,system!$G$16:$H$67,2,FALSE)</f>
        <v>0.1</v>
      </c>
      <c r="U24" s="37">
        <f>シミュレーション設定!$D$30*シミュレーション設定!$D$12*(1-シミュレーション設定!$D$16)^(R24-1)</f>
        <v>22906.981280208205</v>
      </c>
      <c r="V24" s="37">
        <f>IF(R24&lt;=system!$M$6,シミュレーション設定!$D$21*IF(system!M20=1,(1+T24),1),シミュレーション設定!$D$22)*IF(system!$M$7=1,シミュレーション設定!U24,シミュレーション設定!U24-シミュレーション設定!$D$31)</f>
        <v>561788.49456562148</v>
      </c>
      <c r="W24" s="39">
        <f>IF(system!$M$7=1,0,1)*シミュレーション設定!$D$23*シミュレーション設定!$D$31</f>
        <v>70113.749999999985</v>
      </c>
      <c r="X24" s="40">
        <f t="shared" si="3"/>
        <v>631902.24456562148</v>
      </c>
      <c r="Y24" s="41">
        <f t="shared" si="0"/>
        <v>0</v>
      </c>
      <c r="Z24" s="41">
        <f t="shared" si="1"/>
        <v>0</v>
      </c>
      <c r="AA24" s="41">
        <f>-1*$O$22*$O$23*S24*IF(R24&lt;=パラメータ類!$J$84,パラメータ類!$K$84,1)</f>
        <v>-6908.7491407531397</v>
      </c>
      <c r="AB24" s="94">
        <f t="shared" si="2"/>
        <v>361788.49456562148</v>
      </c>
      <c r="AC24" s="94">
        <f t="shared" si="4"/>
        <v>79955.257299002347</v>
      </c>
      <c r="AD24" s="42">
        <f t="shared" si="5"/>
        <v>-86863.706439755493</v>
      </c>
      <c r="AE24" s="43">
        <f t="shared" si="6"/>
        <v>545038.53812586598</v>
      </c>
      <c r="AF24" s="38">
        <f t="shared" si="7"/>
        <v>2145824.4191905879</v>
      </c>
      <c r="AG24" s="17">
        <f t="shared" si="8"/>
        <v>2032</v>
      </c>
    </row>
    <row r="25" spans="2:33" x14ac:dyDescent="0.2">
      <c r="B25" s="223" t="s">
        <v>122</v>
      </c>
      <c r="C25" s="224"/>
      <c r="D25" s="292">
        <v>100000</v>
      </c>
      <c r="E25" s="293"/>
      <c r="G25" s="296"/>
      <c r="H25" s="296"/>
      <c r="I25" s="114"/>
      <c r="J25" s="115"/>
      <c r="K25" s="116"/>
      <c r="M25" s="202" t="s">
        <v>181</v>
      </c>
      <c r="N25" s="203"/>
      <c r="O25" s="204"/>
      <c r="R25" s="35">
        <v>19</v>
      </c>
      <c r="S25" s="36">
        <v>0.28000000000000003</v>
      </c>
      <c r="T25" s="129">
        <f>VLOOKUP(AG25,system!$G$16:$H$67,2,FALSE)</f>
        <v>0.1</v>
      </c>
      <c r="U25" s="37">
        <f>シミュレーション設定!$D$30*シミュレーション設定!$D$12*(1-シミュレーション設定!$D$16)^(R25-1)</f>
        <v>22677.911467406124</v>
      </c>
      <c r="V25" s="37">
        <f>IF(R25&lt;=system!$M$6,シミュレーション設定!$D$21*IF(system!M21=1,(1+T25),1),シミュレーション設定!$D$22)*IF(system!$M$7=1,シミュレーション設定!U25,シミュレーション設定!U25-シミュレーション設定!$D$31)</f>
        <v>555603.60961996531</v>
      </c>
      <c r="W25" s="39">
        <f>IF(system!$M$7=1,0,1)*シミュレーション設定!$D$23*シミュレーション設定!$D$31</f>
        <v>70113.749999999985</v>
      </c>
      <c r="X25" s="40">
        <f t="shared" si="3"/>
        <v>625717.35961996531</v>
      </c>
      <c r="Y25" s="41">
        <f t="shared" si="0"/>
        <v>0</v>
      </c>
      <c r="Z25" s="41">
        <f t="shared" si="1"/>
        <v>0</v>
      </c>
      <c r="AA25" s="41">
        <f>-1*$O$22*$O$23*S25*IF(R25&lt;=パラメータ類!$J$84,パラメータ類!$K$84,1)</f>
        <v>-6448.1658647029308</v>
      </c>
      <c r="AB25" s="94">
        <f t="shared" si="2"/>
        <v>355603.60961996531</v>
      </c>
      <c r="AC25" s="94">
        <f t="shared" si="4"/>
        <v>78588.397726012336</v>
      </c>
      <c r="AD25" s="42">
        <f t="shared" si="5"/>
        <v>-85036.283590715262</v>
      </c>
      <c r="AE25" s="43">
        <f t="shared" si="6"/>
        <v>540681.07602925005</v>
      </c>
      <c r="AF25" s="38">
        <f t="shared" si="7"/>
        <v>2686505.4952198379</v>
      </c>
      <c r="AG25" s="17">
        <f t="shared" si="8"/>
        <v>2033</v>
      </c>
    </row>
    <row r="26" spans="2:33" x14ac:dyDescent="0.2">
      <c r="B26" s="223" t="s">
        <v>126</v>
      </c>
      <c r="C26" s="224"/>
      <c r="D26" s="292">
        <f>ROUND(D12/10,0)+1</f>
        <v>4</v>
      </c>
      <c r="E26" s="293"/>
      <c r="M26" s="183" t="s">
        <v>160</v>
      </c>
      <c r="N26" s="184"/>
      <c r="O26" s="181">
        <v>500</v>
      </c>
      <c r="R26" s="138">
        <v>20</v>
      </c>
      <c r="S26" s="139">
        <v>0.26</v>
      </c>
      <c r="T26" s="140">
        <f>VLOOKUP(AG26,system!$G$16:$H$67,2,FALSE)</f>
        <v>0.1</v>
      </c>
      <c r="U26" s="141">
        <f>シミュレーション設定!$D$30*シミュレーション設定!$D$12*(1-シミュレーション設定!$D$16)^(R26-1)</f>
        <v>22451.13235273206</v>
      </c>
      <c r="V26" s="141">
        <f>IF(R26&lt;=system!$M$6,シミュレーション設定!$D$21*IF(system!M22=1,(1+T26),1),シミュレーション設定!$D$22)*IF(system!$M$7=1,シミュレーション設定!U26,シミュレーション設定!U26-シミュレーション設定!$D$31)</f>
        <v>549480.57352376566</v>
      </c>
      <c r="W26" s="142">
        <f>IF(system!$M$7=1,0,1)*シミュレーション設定!$D$23*シミュレーション設定!$D$31</f>
        <v>70113.749999999985</v>
      </c>
      <c r="X26" s="143">
        <f t="shared" si="3"/>
        <v>619594.32352376566</v>
      </c>
      <c r="Y26" s="144">
        <f t="shared" si="0"/>
        <v>0</v>
      </c>
      <c r="Z26" s="144">
        <f t="shared" si="1"/>
        <v>0</v>
      </c>
      <c r="AA26" s="144">
        <f>-1*$O$22*$O$23*S26*IF(R26&lt;=パラメータ類!$J$84,パラメータ類!$K$84,1)</f>
        <v>-5987.5825886527209</v>
      </c>
      <c r="AB26" s="145">
        <f t="shared" si="2"/>
        <v>349480.57352376566</v>
      </c>
      <c r="AC26" s="145">
        <f t="shared" si="4"/>
        <v>77235.206748752214</v>
      </c>
      <c r="AD26" s="146">
        <f t="shared" si="5"/>
        <v>-83222.529337404936</v>
      </c>
      <c r="AE26" s="141">
        <f t="shared" si="6"/>
        <v>536371.79418636067</v>
      </c>
      <c r="AF26" s="143">
        <f t="shared" si="7"/>
        <v>3222877.2894061985</v>
      </c>
      <c r="AG26" s="17">
        <f t="shared" si="8"/>
        <v>2034</v>
      </c>
    </row>
    <row r="27" spans="2:33" ht="13.5" thickBot="1" x14ac:dyDescent="0.25">
      <c r="B27" s="297" t="s">
        <v>56</v>
      </c>
      <c r="C27" s="298"/>
      <c r="D27" s="314">
        <v>11</v>
      </c>
      <c r="E27" s="315"/>
      <c r="M27" s="183" t="s">
        <v>243</v>
      </c>
      <c r="N27" s="184"/>
      <c r="O27" s="181">
        <v>0</v>
      </c>
      <c r="R27" s="169">
        <f>R26+1</f>
        <v>21</v>
      </c>
      <c r="S27" s="170">
        <v>0.26</v>
      </c>
      <c r="T27" s="171">
        <f>VLOOKUP(AG27,system!$G$16:$H$67,2,FALSE)</f>
        <v>0.1</v>
      </c>
      <c r="U27" s="172">
        <f>シミュレーション設定!$D$30*シミュレーション設定!$D$12*(1-シミュレーション設定!$D$16)^(R27-1)</f>
        <v>22226.621029204744</v>
      </c>
      <c r="V27" s="172">
        <f>IF(R27&lt;=system!$M$6,シミュレーション設定!$D$21*IF(system!M23=1,(1+T27),1),シミュレーション設定!$D$22)*IF(system!$M$7=1,シミュレーション設定!U27,シミュレーション設定!U27-シミュレーション設定!$D$31)</f>
        <v>201266.21029204744</v>
      </c>
      <c r="W27" s="173">
        <f>IF(system!$M$7=1,0,1)*シミュレーション設定!$D$23*シミュレーション設定!$D$31</f>
        <v>70113.749999999985</v>
      </c>
      <c r="X27" s="174">
        <f t="shared" ref="X27:X36" si="9">V27+W27</f>
        <v>271379.96029204741</v>
      </c>
      <c r="Y27" s="175">
        <f t="shared" ref="Y27:Y36" si="10">IF($D$18+1=R27,-1*$K$20*$E$18,-1*IF($D$19=0,0,IF(R27&lt;=($D$18+$E$18/12),$K$21,0)))</f>
        <v>0</v>
      </c>
      <c r="Z27" s="175">
        <f t="shared" ref="Z27:Z36" si="11">-1*IF(MOD(R27,$D$27)=0,$D$25,0)*$D$26</f>
        <v>0</v>
      </c>
      <c r="AA27" s="175">
        <f>-1*$O$22*$O$23*S27*IF(R27&lt;=パラメータ類!$J$84,パラメータ類!$K$84,1)</f>
        <v>-5987.5825886527209</v>
      </c>
      <c r="AB27" s="176">
        <f t="shared" si="2"/>
        <v>1266.2102920474426</v>
      </c>
      <c r="AC27" s="176">
        <f t="shared" si="4"/>
        <v>26.590416132996285</v>
      </c>
      <c r="AD27" s="177">
        <f t="shared" ref="AD27:AD36" si="12">(Y27+Z27+S27+AA27-AC27)</f>
        <v>-6013.913004785717</v>
      </c>
      <c r="AE27" s="178">
        <f t="shared" ref="AE27:AE36" si="13">X27+AD27</f>
        <v>265366.0472872617</v>
      </c>
      <c r="AF27" s="179">
        <f t="shared" ref="AF27:AF36" si="14">AE27+AF26</f>
        <v>3488243.3366934601</v>
      </c>
      <c r="AG27" s="17">
        <f t="shared" si="8"/>
        <v>2035</v>
      </c>
    </row>
    <row r="28" spans="2:33" x14ac:dyDescent="0.2">
      <c r="B28" s="219" t="s">
        <v>176</v>
      </c>
      <c r="C28" s="220"/>
      <c r="D28" s="221"/>
      <c r="E28" s="222"/>
      <c r="M28" s="309" t="s">
        <v>123</v>
      </c>
      <c r="N28" s="310"/>
      <c r="O28" s="117">
        <v>17</v>
      </c>
      <c r="R28" s="169">
        <f t="shared" ref="R28:R36" si="15">R27+1</f>
        <v>22</v>
      </c>
      <c r="S28" s="170">
        <v>0.26</v>
      </c>
      <c r="T28" s="171">
        <f>VLOOKUP(AG28,system!$G$16:$H$67,2,FALSE)</f>
        <v>0.1</v>
      </c>
      <c r="U28" s="172">
        <f>シミュレーション設定!$D$30*シミュレーション設定!$D$12*(1-シミュレーション設定!$D$16)^(R28-1)</f>
        <v>22004.354818912696</v>
      </c>
      <c r="V28" s="172">
        <f>IF(R28&lt;=system!$M$6,シミュレーション設定!$D$21*IF(system!M24=1,(1+T28),1),シミュレーション設定!$D$22)*IF(system!$M$7=1,シミュレーション設定!U28,シミュレーション設定!U28-シミュレーション設定!$D$31)</f>
        <v>199043.54818912694</v>
      </c>
      <c r="W28" s="173">
        <f>IF(system!$M$7=1,0,1)*シミュレーション設定!$D$23*シミュレーション設定!$D$31</f>
        <v>70113.749999999985</v>
      </c>
      <c r="X28" s="174">
        <f t="shared" si="9"/>
        <v>269157.29818912694</v>
      </c>
      <c r="Y28" s="175">
        <f t="shared" si="10"/>
        <v>0</v>
      </c>
      <c r="Z28" s="175">
        <f t="shared" si="11"/>
        <v>-400000</v>
      </c>
      <c r="AA28" s="175">
        <f>-1*$O$22*$O$23*S28*IF(R28&lt;=パラメータ類!$J$84,パラメータ類!$K$84,1)</f>
        <v>-5987.5825886527209</v>
      </c>
      <c r="AB28" s="176">
        <f t="shared" si="2"/>
        <v>0</v>
      </c>
      <c r="AC28" s="176">
        <f t="shared" si="4"/>
        <v>0</v>
      </c>
      <c r="AD28" s="177">
        <f t="shared" si="12"/>
        <v>-405987.32258865272</v>
      </c>
      <c r="AE28" s="178">
        <f t="shared" si="13"/>
        <v>-136830.02439952578</v>
      </c>
      <c r="AF28" s="179">
        <f t="shared" si="14"/>
        <v>3351413.3122939342</v>
      </c>
      <c r="AG28" s="17">
        <f t="shared" si="8"/>
        <v>2036</v>
      </c>
    </row>
    <row r="29" spans="2:33" x14ac:dyDescent="0.2">
      <c r="B29" s="223" t="s">
        <v>170</v>
      </c>
      <c r="C29" s="224"/>
      <c r="D29" s="303">
        <f>D30*D8</f>
        <v>27175</v>
      </c>
      <c r="E29" s="304"/>
      <c r="F29" s="132"/>
      <c r="M29" s="200" t="s">
        <v>184</v>
      </c>
      <c r="N29" s="201"/>
      <c r="O29" s="118">
        <f>K11/O28</f>
        <v>510141.17647058825</v>
      </c>
      <c r="R29" s="169">
        <f t="shared" si="15"/>
        <v>23</v>
      </c>
      <c r="S29" s="170">
        <v>0.26</v>
      </c>
      <c r="T29" s="171">
        <f>VLOOKUP(AG29,system!$G$16:$H$67,2,FALSE)</f>
        <v>0.1</v>
      </c>
      <c r="U29" s="172">
        <f>シミュレーション設定!$D$30*シミュレーション設定!$D$12*(1-シミュレーション設定!$D$16)^(R29-1)</f>
        <v>21784.311270723567</v>
      </c>
      <c r="V29" s="172">
        <f>IF(R29&lt;=system!$M$6,シミュレーション設定!$D$21*IF(system!M25=1,(1+T29),1),シミュレーション設定!$D$22)*IF(system!$M$7=1,シミュレーション設定!U29,シミュレーション設定!U29-シミュレーション設定!$D$31)</f>
        <v>196843.11270723568</v>
      </c>
      <c r="W29" s="173">
        <f>IF(system!$M$7=1,0,1)*シミュレーション設定!$D$23*シミュレーション設定!$D$31</f>
        <v>70113.749999999985</v>
      </c>
      <c r="X29" s="174">
        <f t="shared" si="9"/>
        <v>266956.86270723568</v>
      </c>
      <c r="Y29" s="175">
        <f t="shared" si="10"/>
        <v>0</v>
      </c>
      <c r="Z29" s="175">
        <f t="shared" si="11"/>
        <v>0</v>
      </c>
      <c r="AA29" s="175">
        <f>-1*$O$22*$O$23*S29*IF(R29&lt;=パラメータ類!$J$84,パラメータ類!$K$84,1)</f>
        <v>-5987.5825886527209</v>
      </c>
      <c r="AB29" s="176">
        <f t="shared" si="2"/>
        <v>0</v>
      </c>
      <c r="AC29" s="176">
        <f t="shared" si="4"/>
        <v>0</v>
      </c>
      <c r="AD29" s="177">
        <f t="shared" si="12"/>
        <v>-5987.3225886527207</v>
      </c>
      <c r="AE29" s="178">
        <f t="shared" si="13"/>
        <v>260969.54011858295</v>
      </c>
      <c r="AF29" s="179">
        <f t="shared" si="14"/>
        <v>3612382.8524125172</v>
      </c>
      <c r="AG29" s="17">
        <f t="shared" si="8"/>
        <v>2037</v>
      </c>
    </row>
    <row r="30" spans="2:33" x14ac:dyDescent="0.2">
      <c r="B30" s="223" t="s">
        <v>54</v>
      </c>
      <c r="C30" s="224"/>
      <c r="D30" s="303">
        <v>1087</v>
      </c>
      <c r="E30" s="304"/>
      <c r="M30" s="214" t="s">
        <v>186</v>
      </c>
      <c r="N30" s="215"/>
      <c r="O30" s="125">
        <v>2.1000000000000001E-2</v>
      </c>
      <c r="R30" s="169">
        <f t="shared" si="15"/>
        <v>24</v>
      </c>
      <c r="S30" s="170">
        <v>0.26</v>
      </c>
      <c r="T30" s="171">
        <f>VLOOKUP(AG30,system!$G$16:$H$67,2,FALSE)</f>
        <v>0.1</v>
      </c>
      <c r="U30" s="172">
        <f>シミュレーション設定!$D$30*シミュレーション設定!$D$12*(1-シミュレーション設定!$D$16)^(R30-1)</f>
        <v>21566.468158016331</v>
      </c>
      <c r="V30" s="172">
        <f>IF(R30&lt;=system!$M$6,シミュレーション設定!$D$21*IF(system!M26=1,(1+T30),1),シミュレーション設定!$D$22)*IF(system!$M$7=1,シミュレーション設定!U30,シミュレーション設定!U30-シミュレーション設定!$D$31)</f>
        <v>194664.68158016331</v>
      </c>
      <c r="W30" s="173">
        <f>IF(system!$M$7=1,0,1)*シミュレーション設定!$D$23*シミュレーション設定!$D$31</f>
        <v>70113.749999999985</v>
      </c>
      <c r="X30" s="174">
        <f t="shared" si="9"/>
        <v>264778.43158016331</v>
      </c>
      <c r="Y30" s="175">
        <f t="shared" si="10"/>
        <v>0</v>
      </c>
      <c r="Z30" s="175">
        <f t="shared" si="11"/>
        <v>0</v>
      </c>
      <c r="AA30" s="175">
        <f>-1*$O$22*$O$23*S30*IF(R30&lt;=パラメータ類!$J$84,パラメータ類!$K$84,1)</f>
        <v>-5987.5825886527209</v>
      </c>
      <c r="AB30" s="176">
        <f t="shared" si="2"/>
        <v>0</v>
      </c>
      <c r="AC30" s="176">
        <f t="shared" si="4"/>
        <v>0</v>
      </c>
      <c r="AD30" s="177">
        <f t="shared" si="12"/>
        <v>-5987.3225886527207</v>
      </c>
      <c r="AE30" s="178">
        <f t="shared" si="13"/>
        <v>258791.10899151058</v>
      </c>
      <c r="AF30" s="179">
        <f t="shared" si="14"/>
        <v>3871173.9614040279</v>
      </c>
      <c r="AG30" s="17">
        <f t="shared" si="8"/>
        <v>2038</v>
      </c>
    </row>
    <row r="31" spans="2:33" ht="13.5" thickBot="1" x14ac:dyDescent="0.25">
      <c r="B31" s="305" t="s">
        <v>44</v>
      </c>
      <c r="C31" s="306"/>
      <c r="D31" s="316">
        <v>2100</v>
      </c>
      <c r="E31" s="317"/>
      <c r="M31" s="307" t="s">
        <v>187</v>
      </c>
      <c r="N31" s="308"/>
      <c r="O31" s="126">
        <f>VLOOKUP(O26,パラメータ類!$B$94:$D$99,2,TRUE)</f>
        <v>0.2</v>
      </c>
      <c r="R31" s="147">
        <f t="shared" si="15"/>
        <v>25</v>
      </c>
      <c r="S31" s="148">
        <v>0.26</v>
      </c>
      <c r="T31" s="149">
        <f>VLOOKUP(AG31,system!$G$16:$H$67,2,FALSE)</f>
        <v>0.1</v>
      </c>
      <c r="U31" s="150">
        <f>シミュレーション設定!$D$30*シミュレーション設定!$D$12*(1-シミュレーション設定!$D$16)^(R31-1)</f>
        <v>21350.803476436166</v>
      </c>
      <c r="V31" s="150">
        <f>IF(R31&lt;=system!$M$6,シミュレーション設定!$D$21*IF(system!M27=1,(1+T31),1),シミュレーション設定!$D$22)*IF(system!$M$7=1,シミュレーション設定!U31,シミュレーション設定!U31-シミュレーション設定!$D$31)</f>
        <v>192508.03476436166</v>
      </c>
      <c r="W31" s="151">
        <f>IF(system!$M$7=1,0,1)*シミュレーション設定!$D$23*シミュレーション設定!$D$31</f>
        <v>70113.749999999985</v>
      </c>
      <c r="X31" s="152">
        <f t="shared" si="9"/>
        <v>262621.78476436163</v>
      </c>
      <c r="Y31" s="153">
        <f t="shared" si="10"/>
        <v>0</v>
      </c>
      <c r="Z31" s="153">
        <f t="shared" si="11"/>
        <v>0</v>
      </c>
      <c r="AA31" s="153">
        <f>-1*$O$22*$O$23*S31*IF(R31&lt;=パラメータ類!$J$84,パラメータ類!$K$84,1)</f>
        <v>-5987.5825886527209</v>
      </c>
      <c r="AB31" s="154">
        <f t="shared" si="2"/>
        <v>0</v>
      </c>
      <c r="AC31" s="154">
        <f t="shared" si="4"/>
        <v>0</v>
      </c>
      <c r="AD31" s="155">
        <f t="shared" si="12"/>
        <v>-5987.3225886527207</v>
      </c>
      <c r="AE31" s="156">
        <f t="shared" si="13"/>
        <v>256634.4621757089</v>
      </c>
      <c r="AF31" s="157">
        <f t="shared" si="14"/>
        <v>4127808.4235797366</v>
      </c>
      <c r="AG31" s="17">
        <f t="shared" si="8"/>
        <v>2039</v>
      </c>
    </row>
    <row r="32" spans="2:33" ht="13.5" customHeight="1" thickBot="1" x14ac:dyDescent="0.25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198" t="s">
        <v>189</v>
      </c>
      <c r="N32" s="199"/>
      <c r="O32" s="127">
        <f>O31+O30</f>
        <v>0.221</v>
      </c>
      <c r="P32" s="88"/>
      <c r="R32" s="169">
        <f t="shared" si="15"/>
        <v>26</v>
      </c>
      <c r="S32" s="170">
        <v>0.26</v>
      </c>
      <c r="T32" s="171">
        <f>VLOOKUP(AG32,system!$G$16:$H$67,2,FALSE)</f>
        <v>0.1</v>
      </c>
      <c r="U32" s="172">
        <f>シミュレーション設定!$D$30*シミュレーション設定!$D$12*(1-シミュレーション設定!$D$16)^(R32-1)</f>
        <v>21137.295441671806</v>
      </c>
      <c r="V32" s="172">
        <f>IF(R32&lt;=system!$M$6,シミュレーション設定!$D$21*IF(system!M28=1,(1+T32),1),シミュレーション設定!$D$22)*IF(system!$M$7=1,シミュレーション設定!U32,シミュレーション設定!U32-シミュレーション設定!$D$31)</f>
        <v>190372.95441671804</v>
      </c>
      <c r="W32" s="173">
        <f>IF(system!$M$7=1,0,1)*シミュレーション設定!$D$23*シミュレーション設定!$D$31</f>
        <v>70113.749999999985</v>
      </c>
      <c r="X32" s="174">
        <f t="shared" si="9"/>
        <v>260486.70441671804</v>
      </c>
      <c r="Y32" s="175">
        <f t="shared" si="10"/>
        <v>0</v>
      </c>
      <c r="Z32" s="175">
        <f t="shared" si="11"/>
        <v>0</v>
      </c>
      <c r="AA32" s="175">
        <f>-1*$O$22*$O$23*S32*IF(R32&lt;=パラメータ類!$J$84,パラメータ類!$K$84,1)</f>
        <v>-5987.5825886527209</v>
      </c>
      <c r="AB32" s="176">
        <f t="shared" si="2"/>
        <v>0</v>
      </c>
      <c r="AC32" s="176">
        <f t="shared" si="4"/>
        <v>0</v>
      </c>
      <c r="AD32" s="177">
        <f t="shared" si="12"/>
        <v>-5987.3225886527207</v>
      </c>
      <c r="AE32" s="178">
        <f t="shared" si="13"/>
        <v>254499.38182806532</v>
      </c>
      <c r="AF32" s="179">
        <f t="shared" si="14"/>
        <v>4382307.8054078016</v>
      </c>
      <c r="AG32" s="17">
        <f t="shared" si="8"/>
        <v>2040</v>
      </c>
    </row>
    <row r="33" spans="2:33" ht="13.5" customHeight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71"/>
      <c r="R33" s="169">
        <f t="shared" si="15"/>
        <v>27</v>
      </c>
      <c r="S33" s="170">
        <v>0.26</v>
      </c>
      <c r="T33" s="171">
        <f>VLOOKUP(AG33,system!$G$16:$H$67,2,FALSE)</f>
        <v>0.1</v>
      </c>
      <c r="U33" s="172">
        <f>シミュレーション設定!$D$30*シミュレーション設定!$D$12*(1-シミュレーション設定!$D$16)^(R33-1)</f>
        <v>20925.922487255088</v>
      </c>
      <c r="V33" s="172">
        <f>IF(R33&lt;=system!$M$6,シミュレーション設定!$D$21*IF(system!M29=1,(1+T33),1),シミュレーション設定!$D$22)*IF(system!$M$7=1,シミュレーション設定!U33,シミュレーション設定!U33-シミュレーション設定!$D$31)</f>
        <v>188259.22487255087</v>
      </c>
      <c r="W33" s="173">
        <f>IF(system!$M$7=1,0,1)*シミュレーション設定!$D$23*シミュレーション設定!$D$31</f>
        <v>70113.749999999985</v>
      </c>
      <c r="X33" s="174">
        <f t="shared" si="9"/>
        <v>258372.97487255087</v>
      </c>
      <c r="Y33" s="175">
        <f t="shared" si="10"/>
        <v>0</v>
      </c>
      <c r="Z33" s="175">
        <f t="shared" si="11"/>
        <v>0</v>
      </c>
      <c r="AA33" s="175">
        <f>-1*$O$22*$O$23*S33*IF(R33&lt;=パラメータ類!$J$84,パラメータ類!$K$84,1)</f>
        <v>-5987.5825886527209</v>
      </c>
      <c r="AB33" s="176">
        <f t="shared" si="2"/>
        <v>0</v>
      </c>
      <c r="AC33" s="176">
        <f t="shared" si="4"/>
        <v>0</v>
      </c>
      <c r="AD33" s="177">
        <f t="shared" si="12"/>
        <v>-5987.3225886527207</v>
      </c>
      <c r="AE33" s="178">
        <f t="shared" si="13"/>
        <v>252385.65228389815</v>
      </c>
      <c r="AF33" s="179">
        <f t="shared" si="14"/>
        <v>4634693.4576917002</v>
      </c>
      <c r="AG33" s="17">
        <f t="shared" si="8"/>
        <v>2041</v>
      </c>
    </row>
    <row r="34" spans="2:33" ht="13.5" thickBot="1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71"/>
      <c r="R34" s="169">
        <f t="shared" si="15"/>
        <v>28</v>
      </c>
      <c r="S34" s="170">
        <v>0.26</v>
      </c>
      <c r="T34" s="171">
        <f>VLOOKUP(AG34,system!$G$16:$H$67,2,FALSE)</f>
        <v>0.1</v>
      </c>
      <c r="U34" s="172">
        <f>シミュレーション設定!$D$30*シミュレーション設定!$D$12*(1-シミュレーション設定!$D$16)^(R34-1)</f>
        <v>20716.663262382535</v>
      </c>
      <c r="V34" s="172">
        <f>IF(R34&lt;=system!$M$6,シミュレーション設定!$D$21*IF(system!M30=1,(1+T34),1),シミュレーション設定!$D$22)*IF(system!$M$7=1,シミュレーション設定!U34,シミュレーション設定!U34-シミュレーション設定!$D$31)</f>
        <v>186166.63262382534</v>
      </c>
      <c r="W34" s="173">
        <f>IF(system!$M$7=1,0,1)*シミュレーション設定!$D$23*シミュレーション設定!$D$31</f>
        <v>70113.749999999985</v>
      </c>
      <c r="X34" s="174">
        <f t="shared" si="9"/>
        <v>256280.38262382534</v>
      </c>
      <c r="Y34" s="175">
        <f t="shared" si="10"/>
        <v>0</v>
      </c>
      <c r="Z34" s="175">
        <f t="shared" si="11"/>
        <v>0</v>
      </c>
      <c r="AA34" s="175">
        <f>-1*$O$22*$O$23*S34*IF(R34&lt;=パラメータ類!$J$84,パラメータ類!$K$84,1)</f>
        <v>-5987.5825886527209</v>
      </c>
      <c r="AB34" s="176">
        <f t="shared" si="2"/>
        <v>0</v>
      </c>
      <c r="AC34" s="176">
        <f t="shared" si="4"/>
        <v>0</v>
      </c>
      <c r="AD34" s="177">
        <f t="shared" si="12"/>
        <v>-5987.3225886527207</v>
      </c>
      <c r="AE34" s="178">
        <f t="shared" si="13"/>
        <v>250293.06003517262</v>
      </c>
      <c r="AF34" s="179">
        <f t="shared" si="14"/>
        <v>4884986.517726873</v>
      </c>
      <c r="AG34" s="17">
        <f t="shared" si="8"/>
        <v>2042</v>
      </c>
    </row>
    <row r="35" spans="2:33" x14ac:dyDescent="0.2">
      <c r="B35" s="72" t="s">
        <v>78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Q35" s="71"/>
      <c r="R35" s="169">
        <f t="shared" si="15"/>
        <v>29</v>
      </c>
      <c r="S35" s="170">
        <v>0.26</v>
      </c>
      <c r="T35" s="171">
        <f>VLOOKUP(AG35,system!$G$16:$H$67,2,FALSE)</f>
        <v>0.1</v>
      </c>
      <c r="U35" s="172">
        <f>シミュレーション設定!$D$30*シミュレーション設定!$D$12*(1-シミュレーション設定!$D$16)^(R35-1)</f>
        <v>20509.496629758709</v>
      </c>
      <c r="V35" s="172">
        <f>IF(R35&lt;=system!$M$6,シミュレーション設定!$D$21*IF(system!M31=1,(1+T35),1),シミュレーション設定!$D$22)*IF(system!$M$7=1,シミュレーション設定!U35,シミュレーション設定!U35-シミュレーション設定!$D$31)</f>
        <v>184094.96629758709</v>
      </c>
      <c r="W35" s="173">
        <f>IF(system!$M$7=1,0,1)*シミュレーション設定!$D$23*シミュレーション設定!$D$31</f>
        <v>70113.749999999985</v>
      </c>
      <c r="X35" s="174">
        <f t="shared" si="9"/>
        <v>254208.71629758709</v>
      </c>
      <c r="Y35" s="175">
        <f t="shared" si="10"/>
        <v>0</v>
      </c>
      <c r="Z35" s="175">
        <f t="shared" si="11"/>
        <v>0</v>
      </c>
      <c r="AA35" s="175">
        <f>-1*$O$22*$O$23*S35*IF(R35&lt;=パラメータ類!$J$84,パラメータ類!$K$84,1)</f>
        <v>-5987.5825886527209</v>
      </c>
      <c r="AB35" s="176">
        <f t="shared" si="2"/>
        <v>0</v>
      </c>
      <c r="AC35" s="176">
        <f t="shared" si="4"/>
        <v>0</v>
      </c>
      <c r="AD35" s="177">
        <f t="shared" si="12"/>
        <v>-5987.3225886527207</v>
      </c>
      <c r="AE35" s="178">
        <f t="shared" si="13"/>
        <v>248221.39370893437</v>
      </c>
      <c r="AF35" s="179">
        <f t="shared" si="14"/>
        <v>5133207.9114358071</v>
      </c>
      <c r="AG35" s="17">
        <f t="shared" si="8"/>
        <v>2043</v>
      </c>
    </row>
    <row r="36" spans="2:33" ht="13.5" customHeight="1" thickBot="1" x14ac:dyDescent="0.25">
      <c r="B36" s="258" t="s">
        <v>79</v>
      </c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60"/>
      <c r="R36" s="158">
        <f t="shared" si="15"/>
        <v>30</v>
      </c>
      <c r="S36" s="159">
        <v>0.26</v>
      </c>
      <c r="T36" s="160">
        <f>VLOOKUP(AG36,system!$G$16:$H$67,2,FALSE)</f>
        <v>0.1</v>
      </c>
      <c r="U36" s="161">
        <f>シミュレーション設定!$D$30*シミュレーション設定!$D$12*(1-シミュレーション設定!$D$16)^(R36-1)</f>
        <v>20304.401663461118</v>
      </c>
      <c r="V36" s="161">
        <f>IF(R36&lt;=system!$M$6,シミュレーション設定!$D$21*IF(system!M32=1,(1+T36),1),シミュレーション設定!$D$22)*IF(system!$M$7=1,シミュレーション設定!U36,シミュレーション設定!U36-シミュレーション設定!$D$31)</f>
        <v>182044.01663461118</v>
      </c>
      <c r="W36" s="162">
        <f>IF(system!$M$7=1,0,1)*シミュレーション設定!$D$23*シミュレーション設定!$D$31</f>
        <v>70113.749999999985</v>
      </c>
      <c r="X36" s="163">
        <f t="shared" si="9"/>
        <v>252157.76663461118</v>
      </c>
      <c r="Y36" s="164">
        <f t="shared" si="10"/>
        <v>0</v>
      </c>
      <c r="Z36" s="164">
        <f t="shared" si="11"/>
        <v>0</v>
      </c>
      <c r="AA36" s="164">
        <f>-1*$O$22*$O$23*S36*IF(R36&lt;=パラメータ類!$J$84,パラメータ類!$K$84,1)</f>
        <v>-5987.5825886527209</v>
      </c>
      <c r="AB36" s="165">
        <f t="shared" si="2"/>
        <v>0</v>
      </c>
      <c r="AC36" s="165">
        <f t="shared" si="4"/>
        <v>0</v>
      </c>
      <c r="AD36" s="166">
        <f t="shared" si="12"/>
        <v>-5987.3225886527207</v>
      </c>
      <c r="AE36" s="167">
        <f t="shared" si="13"/>
        <v>246170.44404595846</v>
      </c>
      <c r="AF36" s="168">
        <f t="shared" si="14"/>
        <v>5379378.3554817652</v>
      </c>
      <c r="AG36" s="17">
        <f t="shared" si="8"/>
        <v>2044</v>
      </c>
    </row>
    <row r="37" spans="2:33" ht="13.5" thickBot="1" x14ac:dyDescent="0.25">
      <c r="B37" s="261" t="s">
        <v>80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3"/>
    </row>
    <row r="38" spans="2:33" x14ac:dyDescent="0.2">
      <c r="B38" s="257" t="s">
        <v>84</v>
      </c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R38" s="182" t="s">
        <v>242</v>
      </c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</row>
    <row r="39" spans="2:33" x14ac:dyDescent="0.2"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</row>
    <row r="40" spans="2:33" ht="15.75" customHeight="1" x14ac:dyDescent="0.2"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</row>
    <row r="41" spans="2:33" x14ac:dyDescent="0.2"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</row>
    <row r="42" spans="2:33" x14ac:dyDescent="0.2"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</row>
    <row r="43" spans="2:33" ht="13.5" customHeight="1" x14ac:dyDescent="0.2">
      <c r="P43" s="18"/>
      <c r="Q43" s="18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</row>
    <row r="44" spans="2:33" ht="13.5" customHeight="1" x14ac:dyDescent="0.2">
      <c r="P44" s="18"/>
      <c r="Q44" s="18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</row>
    <row r="45" spans="2:33" x14ac:dyDescent="0.2">
      <c r="P45" s="18"/>
      <c r="Q45" s="18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</row>
    <row r="46" spans="2:33" x14ac:dyDescent="0.2">
      <c r="P46" s="18"/>
      <c r="Q46" s="18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</row>
  </sheetData>
  <mergeCells count="117">
    <mergeCell ref="M4:O4"/>
    <mergeCell ref="T3:T6"/>
    <mergeCell ref="B11:C11"/>
    <mergeCell ref="D11:E11"/>
    <mergeCell ref="D19:E19"/>
    <mergeCell ref="G4:K4"/>
    <mergeCell ref="U4:U6"/>
    <mergeCell ref="H10:J10"/>
    <mergeCell ref="D12:E12"/>
    <mergeCell ref="M15:N15"/>
    <mergeCell ref="B10:C10"/>
    <mergeCell ref="G17:J17"/>
    <mergeCell ref="G5:G11"/>
    <mergeCell ref="B12:C12"/>
    <mergeCell ref="G12:K12"/>
    <mergeCell ref="B9:C9"/>
    <mergeCell ref="M5:N5"/>
    <mergeCell ref="H8:J8"/>
    <mergeCell ref="H9:J9"/>
    <mergeCell ref="B7:C7"/>
    <mergeCell ref="D30:E30"/>
    <mergeCell ref="B31:C31"/>
    <mergeCell ref="M31:N31"/>
    <mergeCell ref="M26:N26"/>
    <mergeCell ref="M28:N28"/>
    <mergeCell ref="S1:AD2"/>
    <mergeCell ref="V4:V6"/>
    <mergeCell ref="B22:C22"/>
    <mergeCell ref="D27:E27"/>
    <mergeCell ref="D31:E31"/>
    <mergeCell ref="B23:C23"/>
    <mergeCell ref="B29:C29"/>
    <mergeCell ref="D29:E29"/>
    <mergeCell ref="D22:E22"/>
    <mergeCell ref="H7:J7"/>
    <mergeCell ref="B1:O2"/>
    <mergeCell ref="D14:E14"/>
    <mergeCell ref="B8:C8"/>
    <mergeCell ref="B4:E4"/>
    <mergeCell ref="B14:C14"/>
    <mergeCell ref="D8:E8"/>
    <mergeCell ref="H6:J6"/>
    <mergeCell ref="H5:J5"/>
    <mergeCell ref="M6:N6"/>
    <mergeCell ref="D25:E25"/>
    <mergeCell ref="M24:N24"/>
    <mergeCell ref="M21:N21"/>
    <mergeCell ref="D21:E21"/>
    <mergeCell ref="G25:H25"/>
    <mergeCell ref="B27:C27"/>
    <mergeCell ref="G14:J14"/>
    <mergeCell ref="G16:J16"/>
    <mergeCell ref="B21:C21"/>
    <mergeCell ref="G15:K15"/>
    <mergeCell ref="D16:E16"/>
    <mergeCell ref="M17:N17"/>
    <mergeCell ref="B38:P39"/>
    <mergeCell ref="B36:M36"/>
    <mergeCell ref="B37:M37"/>
    <mergeCell ref="B26:C26"/>
    <mergeCell ref="G21:J21"/>
    <mergeCell ref="D10:E10"/>
    <mergeCell ref="B30:C30"/>
    <mergeCell ref="B19:C19"/>
    <mergeCell ref="G19:K19"/>
    <mergeCell ref="D23:E23"/>
    <mergeCell ref="M18:N18"/>
    <mergeCell ref="M7:M13"/>
    <mergeCell ref="B18:C18"/>
    <mergeCell ref="M14:N14"/>
    <mergeCell ref="D9:E9"/>
    <mergeCell ref="B17:E17"/>
    <mergeCell ref="D7:E7"/>
    <mergeCell ref="B16:C16"/>
    <mergeCell ref="B28:E28"/>
    <mergeCell ref="M20:N20"/>
    <mergeCell ref="G13:J13"/>
    <mergeCell ref="M16:N16"/>
    <mergeCell ref="G18:J18"/>
    <mergeCell ref="D26:E26"/>
    <mergeCell ref="AE3:AF3"/>
    <mergeCell ref="AF4:AF6"/>
    <mergeCell ref="AA4:AA6"/>
    <mergeCell ref="AE4:AE6"/>
    <mergeCell ref="AC4:AC6"/>
    <mergeCell ref="V3:X3"/>
    <mergeCell ref="W4:W6"/>
    <mergeCell ref="Y3:AD3"/>
    <mergeCell ref="AB4:AB6"/>
    <mergeCell ref="AD4:AD6"/>
    <mergeCell ref="Z4:Z6"/>
    <mergeCell ref="Y4:Y6"/>
    <mergeCell ref="X4:X6"/>
    <mergeCell ref="R38:AF46"/>
    <mergeCell ref="M27:N27"/>
    <mergeCell ref="B5:C5"/>
    <mergeCell ref="D5:E5"/>
    <mergeCell ref="B13:C13"/>
    <mergeCell ref="D13:E13"/>
    <mergeCell ref="B6:C6"/>
    <mergeCell ref="D6:E6"/>
    <mergeCell ref="B15:C15"/>
    <mergeCell ref="D15:E15"/>
    <mergeCell ref="I11:J11"/>
    <mergeCell ref="M32:N32"/>
    <mergeCell ref="M29:N29"/>
    <mergeCell ref="M25:O25"/>
    <mergeCell ref="M19:N19"/>
    <mergeCell ref="M23:N23"/>
    <mergeCell ref="M22:N22"/>
    <mergeCell ref="G20:J20"/>
    <mergeCell ref="M30:N30"/>
    <mergeCell ref="S3:S6"/>
    <mergeCell ref="B24:E24"/>
    <mergeCell ref="B25:C25"/>
    <mergeCell ref="R3:R6"/>
    <mergeCell ref="B20:E20"/>
  </mergeCells>
  <phoneticPr fontId="3"/>
  <hyperlinks>
    <hyperlink ref="N3" r:id="rId1"/>
  </hyperlink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62470" r:id="rId5" name="Drop Down 1030">
              <controlPr defaultSize="0" autoLine="0" autoPict="0">
                <anchor moveWithCells="1">
                  <from>
                    <xdr:col>3</xdr:col>
                    <xdr:colOff>19050</xdr:colOff>
                    <xdr:row>5</xdr:row>
                    <xdr:rowOff>19050</xdr:rowOff>
                  </from>
                  <to>
                    <xdr:col>4</xdr:col>
                    <xdr:colOff>495300</xdr:colOff>
                    <xdr:row>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474" r:id="rId6" name="Drop Down 1034">
              <controlPr defaultSize="0" autoLine="0" autoPict="0">
                <anchor moveWithCells="1">
                  <from>
                    <xdr:col>3</xdr:col>
                    <xdr:colOff>25400</xdr:colOff>
                    <xdr:row>6</xdr:row>
                    <xdr:rowOff>12700</xdr:rowOff>
                  </from>
                  <to>
                    <xdr:col>4</xdr:col>
                    <xdr:colOff>488950</xdr:colOff>
                    <xdr:row>6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workbookViewId="0">
      <selection activeCell="L23" sqref="L23"/>
    </sheetView>
  </sheetViews>
  <sheetFormatPr defaultRowHeight="13" x14ac:dyDescent="0.2"/>
  <cols>
    <col min="1" max="1" width="17.26953125" bestFit="1" customWidth="1"/>
    <col min="6" max="6" width="9.26953125" bestFit="1" customWidth="1"/>
    <col min="8" max="8" width="11.36328125" bestFit="1" customWidth="1"/>
    <col min="12" max="13" width="10.26953125" bestFit="1" customWidth="1"/>
  </cols>
  <sheetData>
    <row r="1" spans="1:17" x14ac:dyDescent="0.2">
      <c r="B1" t="s">
        <v>193</v>
      </c>
      <c r="C1" t="s">
        <v>194</v>
      </c>
      <c r="G1" t="s">
        <v>217</v>
      </c>
      <c r="H1" t="s">
        <v>218</v>
      </c>
      <c r="I1" t="s">
        <v>237</v>
      </c>
      <c r="L1" t="s">
        <v>222</v>
      </c>
      <c r="Q1" t="s">
        <v>236</v>
      </c>
    </row>
    <row r="2" spans="1:17" x14ac:dyDescent="0.2">
      <c r="A2" t="s">
        <v>192</v>
      </c>
      <c r="B2">
        <v>10</v>
      </c>
      <c r="C2">
        <v>20</v>
      </c>
      <c r="G2">
        <v>1</v>
      </c>
      <c r="H2" t="s">
        <v>207</v>
      </c>
      <c r="I2" s="136">
        <v>33.387499999999996</v>
      </c>
      <c r="L2" t="s">
        <v>225</v>
      </c>
      <c r="M2" s="133">
        <f>DATE(YEAR(シミュレーション設定!D5),MONTH(シミュレーション設定!D5),1)</f>
        <v>42278</v>
      </c>
      <c r="P2">
        <v>1</v>
      </c>
      <c r="Q2" t="s">
        <v>234</v>
      </c>
    </row>
    <row r="3" spans="1:17" x14ac:dyDescent="0.2">
      <c r="A3" t="s">
        <v>195</v>
      </c>
      <c r="B3">
        <v>320000</v>
      </c>
      <c r="C3">
        <v>290000</v>
      </c>
      <c r="G3">
        <v>2</v>
      </c>
      <c r="H3" t="s">
        <v>208</v>
      </c>
      <c r="I3" s="136">
        <v>35.61</v>
      </c>
      <c r="L3" t="s">
        <v>232</v>
      </c>
      <c r="M3">
        <f>IF(シミュレーション設定!D8&gt;=10,1,0)</f>
        <v>1</v>
      </c>
      <c r="N3" t="s">
        <v>224</v>
      </c>
      <c r="P3">
        <v>2</v>
      </c>
      <c r="Q3" t="s">
        <v>235</v>
      </c>
    </row>
    <row r="4" spans="1:17" x14ac:dyDescent="0.2">
      <c r="G4">
        <v>3</v>
      </c>
      <c r="H4" t="s">
        <v>209</v>
      </c>
      <c r="I4" s="136">
        <v>34.347499999999997</v>
      </c>
      <c r="L4" t="s">
        <v>219</v>
      </c>
      <c r="M4">
        <f>VLOOKUP(M2,売電単価!$A$4:$Q$137,7+シミュレーション設定!D6,FALSE)</f>
        <v>0</v>
      </c>
    </row>
    <row r="5" spans="1:17" x14ac:dyDescent="0.2">
      <c r="G5">
        <v>4</v>
      </c>
      <c r="H5" t="s">
        <v>210</v>
      </c>
      <c r="I5" s="136">
        <v>35.659999999999997</v>
      </c>
      <c r="L5" t="s">
        <v>226</v>
      </c>
      <c r="M5" s="137">
        <f>1+VLOOKUP(M2,売電単価!$A$4:$Q$137,2,FALSE)</f>
        <v>1.08</v>
      </c>
    </row>
    <row r="6" spans="1:17" x14ac:dyDescent="0.2">
      <c r="G6">
        <v>5</v>
      </c>
      <c r="H6" t="s">
        <v>211</v>
      </c>
      <c r="I6" s="136">
        <v>29.58</v>
      </c>
      <c r="L6" t="s">
        <v>200</v>
      </c>
      <c r="M6">
        <f>IF(M3=1,20,10)</f>
        <v>20</v>
      </c>
    </row>
    <row r="7" spans="1:17" x14ac:dyDescent="0.2">
      <c r="G7">
        <v>6</v>
      </c>
      <c r="H7" t="s">
        <v>212</v>
      </c>
      <c r="I7" s="136">
        <v>31.024999999999995</v>
      </c>
      <c r="L7" t="s">
        <v>223</v>
      </c>
      <c r="M7" s="180">
        <v>2</v>
      </c>
      <c r="N7" t="s">
        <v>241</v>
      </c>
    </row>
    <row r="8" spans="1:17" x14ac:dyDescent="0.2">
      <c r="G8">
        <v>7</v>
      </c>
      <c r="H8" t="s">
        <v>213</v>
      </c>
      <c r="I8" s="136">
        <v>28.850000000000005</v>
      </c>
      <c r="L8" t="s">
        <v>239</v>
      </c>
      <c r="M8">
        <f>IF(M3=1,5,IF(M4=0,3,4))</f>
        <v>5</v>
      </c>
    </row>
    <row r="9" spans="1:17" x14ac:dyDescent="0.2">
      <c r="G9">
        <v>8</v>
      </c>
      <c r="H9" t="s">
        <v>214</v>
      </c>
      <c r="I9" s="136">
        <v>29.13</v>
      </c>
    </row>
    <row r="10" spans="1:17" x14ac:dyDescent="0.2">
      <c r="G10">
        <v>9</v>
      </c>
      <c r="H10" t="s">
        <v>215</v>
      </c>
      <c r="I10" s="136">
        <v>32.159999999999997</v>
      </c>
    </row>
    <row r="11" spans="1:17" x14ac:dyDescent="0.2">
      <c r="G11">
        <v>10</v>
      </c>
      <c r="H11" t="s">
        <v>216</v>
      </c>
      <c r="I11" s="136">
        <v>36.895000000000003</v>
      </c>
    </row>
    <row r="15" spans="1:17" x14ac:dyDescent="0.2">
      <c r="G15" t="s">
        <v>231</v>
      </c>
    </row>
    <row r="16" spans="1:17" x14ac:dyDescent="0.2">
      <c r="G16">
        <v>2009</v>
      </c>
      <c r="H16" s="3">
        <v>0.05</v>
      </c>
    </row>
    <row r="17" spans="7:8" x14ac:dyDescent="0.2">
      <c r="G17">
        <v>2010</v>
      </c>
      <c r="H17" s="3">
        <v>0.05</v>
      </c>
    </row>
    <row r="18" spans="7:8" x14ac:dyDescent="0.2">
      <c r="G18">
        <v>2011</v>
      </c>
      <c r="H18" s="3">
        <v>0.05</v>
      </c>
    </row>
    <row r="19" spans="7:8" x14ac:dyDescent="0.2">
      <c r="G19">
        <v>2012</v>
      </c>
      <c r="H19" s="3">
        <v>0.05</v>
      </c>
    </row>
    <row r="20" spans="7:8" x14ac:dyDescent="0.2">
      <c r="G20">
        <v>2013</v>
      </c>
      <c r="H20" s="3">
        <v>0.05</v>
      </c>
    </row>
    <row r="21" spans="7:8" x14ac:dyDescent="0.2">
      <c r="G21">
        <v>2014</v>
      </c>
      <c r="H21" s="3">
        <v>0.08</v>
      </c>
    </row>
    <row r="22" spans="7:8" x14ac:dyDescent="0.2">
      <c r="G22">
        <v>2015</v>
      </c>
      <c r="H22" s="3">
        <v>0.08</v>
      </c>
    </row>
    <row r="23" spans="7:8" x14ac:dyDescent="0.2">
      <c r="G23">
        <v>2016</v>
      </c>
      <c r="H23" s="3">
        <v>0.08</v>
      </c>
    </row>
    <row r="24" spans="7:8" x14ac:dyDescent="0.2">
      <c r="G24">
        <v>2017</v>
      </c>
      <c r="H24" s="3">
        <v>0.1</v>
      </c>
    </row>
    <row r="25" spans="7:8" x14ac:dyDescent="0.2">
      <c r="G25">
        <v>2018</v>
      </c>
      <c r="H25" s="3">
        <v>0.1</v>
      </c>
    </row>
    <row r="26" spans="7:8" x14ac:dyDescent="0.2">
      <c r="G26">
        <v>2019</v>
      </c>
      <c r="H26" s="3">
        <v>0.1</v>
      </c>
    </row>
    <row r="27" spans="7:8" x14ac:dyDescent="0.2">
      <c r="G27">
        <v>2020</v>
      </c>
      <c r="H27" s="3">
        <v>0.1</v>
      </c>
    </row>
    <row r="28" spans="7:8" x14ac:dyDescent="0.2">
      <c r="G28">
        <v>2021</v>
      </c>
      <c r="H28" s="3">
        <v>0.1</v>
      </c>
    </row>
    <row r="29" spans="7:8" x14ac:dyDescent="0.2">
      <c r="G29">
        <v>2022</v>
      </c>
      <c r="H29" s="3">
        <v>0.1</v>
      </c>
    </row>
    <row r="30" spans="7:8" x14ac:dyDescent="0.2">
      <c r="G30">
        <v>2023</v>
      </c>
      <c r="H30" s="3">
        <v>0.1</v>
      </c>
    </row>
    <row r="31" spans="7:8" x14ac:dyDescent="0.2">
      <c r="G31">
        <v>2024</v>
      </c>
      <c r="H31" s="3">
        <v>0.1</v>
      </c>
    </row>
    <row r="32" spans="7:8" x14ac:dyDescent="0.2">
      <c r="G32">
        <v>2025</v>
      </c>
      <c r="H32" s="3">
        <v>0.1</v>
      </c>
    </row>
    <row r="33" spans="7:8" x14ac:dyDescent="0.2">
      <c r="G33">
        <v>2026</v>
      </c>
      <c r="H33" s="3">
        <v>0.1</v>
      </c>
    </row>
    <row r="34" spans="7:8" x14ac:dyDescent="0.2">
      <c r="G34">
        <v>2027</v>
      </c>
      <c r="H34" s="3">
        <v>0.1</v>
      </c>
    </row>
    <row r="35" spans="7:8" x14ac:dyDescent="0.2">
      <c r="G35">
        <v>2028</v>
      </c>
      <c r="H35" s="3">
        <v>0.1</v>
      </c>
    </row>
    <row r="36" spans="7:8" x14ac:dyDescent="0.2">
      <c r="G36">
        <v>2029</v>
      </c>
      <c r="H36" s="3">
        <v>0.1</v>
      </c>
    </row>
    <row r="37" spans="7:8" x14ac:dyDescent="0.2">
      <c r="G37">
        <v>2030</v>
      </c>
      <c r="H37" s="3">
        <v>0.1</v>
      </c>
    </row>
    <row r="38" spans="7:8" x14ac:dyDescent="0.2">
      <c r="G38">
        <v>2031</v>
      </c>
      <c r="H38" s="3">
        <v>0.1</v>
      </c>
    </row>
    <row r="39" spans="7:8" x14ac:dyDescent="0.2">
      <c r="G39">
        <v>2032</v>
      </c>
      <c r="H39" s="3">
        <v>0.1</v>
      </c>
    </row>
    <row r="40" spans="7:8" x14ac:dyDescent="0.2">
      <c r="G40">
        <v>2033</v>
      </c>
      <c r="H40" s="3">
        <v>0.1</v>
      </c>
    </row>
    <row r="41" spans="7:8" x14ac:dyDescent="0.2">
      <c r="G41">
        <v>2034</v>
      </c>
      <c r="H41" s="3">
        <v>0.1</v>
      </c>
    </row>
    <row r="42" spans="7:8" x14ac:dyDescent="0.2">
      <c r="G42">
        <v>2035</v>
      </c>
      <c r="H42" s="3">
        <v>0.1</v>
      </c>
    </row>
    <row r="43" spans="7:8" x14ac:dyDescent="0.2">
      <c r="G43">
        <v>2036</v>
      </c>
      <c r="H43" s="3">
        <v>0.1</v>
      </c>
    </row>
    <row r="44" spans="7:8" x14ac:dyDescent="0.2">
      <c r="G44">
        <v>2037</v>
      </c>
      <c r="H44" s="3">
        <v>0.1</v>
      </c>
    </row>
    <row r="45" spans="7:8" x14ac:dyDescent="0.2">
      <c r="G45">
        <v>2038</v>
      </c>
      <c r="H45" s="3">
        <v>0.1</v>
      </c>
    </row>
    <row r="46" spans="7:8" x14ac:dyDescent="0.2">
      <c r="G46">
        <v>2039</v>
      </c>
      <c r="H46" s="3">
        <v>0.1</v>
      </c>
    </row>
    <row r="47" spans="7:8" x14ac:dyDescent="0.2">
      <c r="G47">
        <v>2040</v>
      </c>
      <c r="H47" s="3">
        <v>0.1</v>
      </c>
    </row>
    <row r="48" spans="7:8" x14ac:dyDescent="0.2">
      <c r="G48">
        <v>2041</v>
      </c>
      <c r="H48" s="3">
        <v>0.1</v>
      </c>
    </row>
    <row r="49" spans="7:8" x14ac:dyDescent="0.2">
      <c r="G49">
        <v>2042</v>
      </c>
      <c r="H49" s="3">
        <v>0.1</v>
      </c>
    </row>
    <row r="50" spans="7:8" x14ac:dyDescent="0.2">
      <c r="G50">
        <v>2043</v>
      </c>
      <c r="H50" s="3">
        <v>0.1</v>
      </c>
    </row>
    <row r="51" spans="7:8" x14ac:dyDescent="0.2">
      <c r="G51">
        <v>2044</v>
      </c>
      <c r="H51" s="3">
        <v>0.1</v>
      </c>
    </row>
    <row r="52" spans="7:8" x14ac:dyDescent="0.2">
      <c r="G52">
        <v>2045</v>
      </c>
      <c r="H52" s="3">
        <v>0.1</v>
      </c>
    </row>
    <row r="53" spans="7:8" x14ac:dyDescent="0.2">
      <c r="G53">
        <v>2046</v>
      </c>
      <c r="H53" s="3">
        <v>0.1</v>
      </c>
    </row>
    <row r="54" spans="7:8" x14ac:dyDescent="0.2">
      <c r="G54">
        <v>2047</v>
      </c>
      <c r="H54" s="3">
        <v>0.1</v>
      </c>
    </row>
    <row r="55" spans="7:8" x14ac:dyDescent="0.2">
      <c r="G55">
        <v>2048</v>
      </c>
      <c r="H55" s="3">
        <v>0.1</v>
      </c>
    </row>
    <row r="56" spans="7:8" x14ac:dyDescent="0.2">
      <c r="G56">
        <v>2049</v>
      </c>
      <c r="H56" s="3">
        <v>0.1</v>
      </c>
    </row>
    <row r="57" spans="7:8" x14ac:dyDescent="0.2">
      <c r="G57">
        <v>2050</v>
      </c>
      <c r="H57" s="3">
        <v>0.1</v>
      </c>
    </row>
    <row r="58" spans="7:8" x14ac:dyDescent="0.2">
      <c r="G58">
        <v>2051</v>
      </c>
      <c r="H58" s="3">
        <v>0.1</v>
      </c>
    </row>
    <row r="59" spans="7:8" x14ac:dyDescent="0.2">
      <c r="G59">
        <v>2052</v>
      </c>
      <c r="H59" s="3">
        <v>0.1</v>
      </c>
    </row>
    <row r="60" spans="7:8" x14ac:dyDescent="0.2">
      <c r="G60">
        <v>2053</v>
      </c>
      <c r="H60" s="3">
        <v>0.1</v>
      </c>
    </row>
    <row r="61" spans="7:8" x14ac:dyDescent="0.2">
      <c r="G61">
        <v>2054</v>
      </c>
      <c r="H61" s="3">
        <v>0.1</v>
      </c>
    </row>
    <row r="62" spans="7:8" x14ac:dyDescent="0.2">
      <c r="G62">
        <v>2055</v>
      </c>
      <c r="H62" s="3">
        <v>0.1</v>
      </c>
    </row>
    <row r="63" spans="7:8" x14ac:dyDescent="0.2">
      <c r="G63">
        <v>2056</v>
      </c>
      <c r="H63" s="3">
        <v>0.1</v>
      </c>
    </row>
    <row r="64" spans="7:8" x14ac:dyDescent="0.2">
      <c r="G64">
        <v>2057</v>
      </c>
      <c r="H64" s="3">
        <v>0.1</v>
      </c>
    </row>
    <row r="65" spans="7:8" x14ac:dyDescent="0.2">
      <c r="G65">
        <v>2058</v>
      </c>
      <c r="H65" s="3">
        <v>0.1</v>
      </c>
    </row>
    <row r="66" spans="7:8" x14ac:dyDescent="0.2">
      <c r="G66">
        <v>2059</v>
      </c>
      <c r="H66" s="3">
        <v>0.1</v>
      </c>
    </row>
    <row r="67" spans="7:8" x14ac:dyDescent="0.2">
      <c r="G67">
        <v>2060</v>
      </c>
      <c r="H67" s="3">
        <v>0.1</v>
      </c>
    </row>
    <row r="68" spans="7:8" x14ac:dyDescent="0.2">
      <c r="G68">
        <v>2061</v>
      </c>
      <c r="H68" s="3">
        <v>0.1</v>
      </c>
    </row>
  </sheetData>
  <phoneticPr fontId="1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workbookViewId="0">
      <pane xSplit="1" ySplit="3" topLeftCell="B77" activePane="bottomRight" state="frozen"/>
      <selection pane="topRight" activeCell="B1" sqref="B1"/>
      <selection pane="bottomLeft" activeCell="A4" sqref="A4"/>
      <selection pane="bottomRight" activeCell="E103" sqref="E103"/>
    </sheetView>
  </sheetViews>
  <sheetFormatPr defaultRowHeight="13" x14ac:dyDescent="0.2"/>
  <cols>
    <col min="1" max="1" width="10.26953125" bestFit="1" customWidth="1"/>
    <col min="2" max="2" width="10.26953125" customWidth="1"/>
    <col min="3" max="3" width="9.6328125" bestFit="1" customWidth="1"/>
    <col min="4" max="4" width="12.81640625" bestFit="1" customWidth="1"/>
    <col min="6" max="6" width="9.6328125" bestFit="1" customWidth="1"/>
  </cols>
  <sheetData>
    <row r="1" spans="1:17" x14ac:dyDescent="0.2">
      <c r="B1" s="360" t="s">
        <v>203</v>
      </c>
      <c r="C1" s="360" t="s">
        <v>199</v>
      </c>
      <c r="D1" s="360"/>
      <c r="E1" s="360"/>
      <c r="F1" s="360" t="s">
        <v>200</v>
      </c>
      <c r="G1" s="360"/>
      <c r="H1" s="360" t="s">
        <v>220</v>
      </c>
      <c r="I1" s="360"/>
      <c r="J1" s="360"/>
      <c r="K1" s="360"/>
      <c r="L1" s="360"/>
      <c r="M1" s="360"/>
      <c r="N1" s="360"/>
      <c r="O1" s="360"/>
      <c r="P1" s="360"/>
      <c r="Q1" s="360"/>
    </row>
    <row r="2" spans="1:17" x14ac:dyDescent="0.2">
      <c r="B2" s="360"/>
      <c r="C2" s="360" t="s">
        <v>193</v>
      </c>
      <c r="D2" s="360"/>
      <c r="E2" s="360" t="s">
        <v>194</v>
      </c>
      <c r="F2" s="360" t="s">
        <v>193</v>
      </c>
      <c r="G2" s="360" t="s">
        <v>194</v>
      </c>
      <c r="H2" s="135">
        <v>1</v>
      </c>
      <c r="I2" s="135">
        <v>2</v>
      </c>
      <c r="J2" s="135">
        <v>3</v>
      </c>
      <c r="K2" s="135">
        <v>4</v>
      </c>
      <c r="L2" s="135">
        <v>5</v>
      </c>
      <c r="M2" s="135">
        <v>6</v>
      </c>
      <c r="N2" s="135">
        <v>7</v>
      </c>
      <c r="O2" s="135">
        <v>8</v>
      </c>
      <c r="P2" s="135">
        <v>9</v>
      </c>
      <c r="Q2" s="135">
        <v>10</v>
      </c>
    </row>
    <row r="3" spans="1:17" x14ac:dyDescent="0.2">
      <c r="B3" s="360"/>
      <c r="C3" t="s">
        <v>201</v>
      </c>
      <c r="D3" t="s">
        <v>202</v>
      </c>
      <c r="E3" s="360"/>
      <c r="F3" s="360"/>
      <c r="G3" s="360"/>
      <c r="H3" t="s">
        <v>207</v>
      </c>
      <c r="I3" t="s">
        <v>208</v>
      </c>
      <c r="J3" t="s">
        <v>209</v>
      </c>
      <c r="K3" t="s">
        <v>210</v>
      </c>
      <c r="L3" t="s">
        <v>211</v>
      </c>
      <c r="M3" t="s">
        <v>212</v>
      </c>
      <c r="N3" t="s">
        <v>213</v>
      </c>
      <c r="O3" t="s">
        <v>214</v>
      </c>
      <c r="P3" t="s">
        <v>215</v>
      </c>
      <c r="Q3" t="s">
        <v>216</v>
      </c>
    </row>
    <row r="4" spans="1:17" x14ac:dyDescent="0.2">
      <c r="A4" s="133">
        <v>40118</v>
      </c>
      <c r="B4" s="3">
        <v>0.05</v>
      </c>
      <c r="C4">
        <v>48</v>
      </c>
      <c r="D4">
        <f t="shared" ref="D4:D55" si="0">C4</f>
        <v>48</v>
      </c>
      <c r="F4">
        <v>10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</row>
    <row r="5" spans="1:17" x14ac:dyDescent="0.2">
      <c r="A5" s="133">
        <v>40148</v>
      </c>
      <c r="B5" s="3">
        <v>0.05</v>
      </c>
      <c r="C5">
        <v>48</v>
      </c>
      <c r="D5">
        <f t="shared" si="0"/>
        <v>48</v>
      </c>
      <c r="F5">
        <v>10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 x14ac:dyDescent="0.2">
      <c r="A6" s="133">
        <v>40179</v>
      </c>
      <c r="B6" s="3">
        <v>0.05</v>
      </c>
      <c r="C6">
        <v>48</v>
      </c>
      <c r="D6">
        <f t="shared" si="0"/>
        <v>48</v>
      </c>
      <c r="F6">
        <v>10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x14ac:dyDescent="0.2">
      <c r="A7" s="133">
        <v>40210</v>
      </c>
      <c r="B7" s="3">
        <v>0.05</v>
      </c>
      <c r="C7">
        <v>48</v>
      </c>
      <c r="D7">
        <f t="shared" si="0"/>
        <v>48</v>
      </c>
      <c r="F7">
        <v>10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 x14ac:dyDescent="0.2">
      <c r="A8" s="133">
        <v>40238</v>
      </c>
      <c r="B8" s="3">
        <v>0.05</v>
      </c>
      <c r="C8">
        <v>48</v>
      </c>
      <c r="D8">
        <f t="shared" si="0"/>
        <v>48</v>
      </c>
      <c r="F8">
        <v>10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</row>
    <row r="9" spans="1:17" x14ac:dyDescent="0.2">
      <c r="A9" s="133">
        <v>40269</v>
      </c>
      <c r="B9" s="3">
        <v>0.05</v>
      </c>
      <c r="C9">
        <v>48</v>
      </c>
      <c r="D9">
        <f t="shared" si="0"/>
        <v>48</v>
      </c>
      <c r="F9">
        <v>10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</row>
    <row r="10" spans="1:17" x14ac:dyDescent="0.2">
      <c r="A10" s="133">
        <v>40299</v>
      </c>
      <c r="B10" s="3">
        <v>0.05</v>
      </c>
      <c r="C10">
        <v>48</v>
      </c>
      <c r="D10">
        <f t="shared" si="0"/>
        <v>48</v>
      </c>
      <c r="F10">
        <v>10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</row>
    <row r="11" spans="1:17" x14ac:dyDescent="0.2">
      <c r="A11" s="133">
        <v>40330</v>
      </c>
      <c r="B11" s="3">
        <v>0.05</v>
      </c>
      <c r="C11">
        <v>48</v>
      </c>
      <c r="D11">
        <f t="shared" si="0"/>
        <v>48</v>
      </c>
      <c r="F11">
        <v>10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</row>
    <row r="12" spans="1:17" x14ac:dyDescent="0.2">
      <c r="A12" s="133">
        <v>40360</v>
      </c>
      <c r="B12" s="3">
        <v>0.05</v>
      </c>
      <c r="C12">
        <v>48</v>
      </c>
      <c r="D12">
        <f t="shared" si="0"/>
        <v>48</v>
      </c>
      <c r="F12">
        <v>10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</row>
    <row r="13" spans="1:17" x14ac:dyDescent="0.2">
      <c r="A13" s="133">
        <v>40391</v>
      </c>
      <c r="B13" s="3">
        <v>0.05</v>
      </c>
      <c r="C13">
        <v>48</v>
      </c>
      <c r="D13">
        <f t="shared" si="0"/>
        <v>48</v>
      </c>
      <c r="F13">
        <v>10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</row>
    <row r="14" spans="1:17" x14ac:dyDescent="0.2">
      <c r="A14" s="133">
        <v>40422</v>
      </c>
      <c r="B14" s="3">
        <v>0.05</v>
      </c>
      <c r="C14">
        <v>48</v>
      </c>
      <c r="D14">
        <f t="shared" si="0"/>
        <v>48</v>
      </c>
      <c r="F14">
        <v>10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</row>
    <row r="15" spans="1:17" x14ac:dyDescent="0.2">
      <c r="A15" s="133">
        <v>40452</v>
      </c>
      <c r="B15" s="3">
        <v>0.05</v>
      </c>
      <c r="C15">
        <v>48</v>
      </c>
      <c r="D15">
        <f t="shared" si="0"/>
        <v>48</v>
      </c>
      <c r="F15">
        <v>10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</row>
    <row r="16" spans="1:17" x14ac:dyDescent="0.2">
      <c r="A16" s="133">
        <v>40483</v>
      </c>
      <c r="B16" s="3">
        <v>0.05</v>
      </c>
      <c r="C16">
        <v>48</v>
      </c>
      <c r="D16">
        <f t="shared" si="0"/>
        <v>48</v>
      </c>
      <c r="F16">
        <v>10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</row>
    <row r="17" spans="1:17" x14ac:dyDescent="0.2">
      <c r="A17" s="133">
        <v>40513</v>
      </c>
      <c r="B17" s="3">
        <v>0.05</v>
      </c>
      <c r="C17">
        <v>48</v>
      </c>
      <c r="D17">
        <f t="shared" si="0"/>
        <v>48</v>
      </c>
      <c r="F17">
        <v>10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</row>
    <row r="18" spans="1:17" x14ac:dyDescent="0.2">
      <c r="A18" s="133">
        <v>40544</v>
      </c>
      <c r="B18" s="3">
        <v>0.05</v>
      </c>
      <c r="C18">
        <v>48</v>
      </c>
      <c r="D18">
        <f t="shared" si="0"/>
        <v>48</v>
      </c>
      <c r="F18">
        <v>10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17" x14ac:dyDescent="0.2">
      <c r="A19" s="133">
        <v>40575</v>
      </c>
      <c r="B19" s="3">
        <v>0.05</v>
      </c>
      <c r="C19">
        <v>48</v>
      </c>
      <c r="D19">
        <f t="shared" si="0"/>
        <v>48</v>
      </c>
      <c r="F19">
        <v>10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1:17" x14ac:dyDescent="0.2">
      <c r="A20" s="133">
        <v>40603</v>
      </c>
      <c r="B20" s="3">
        <v>0.05</v>
      </c>
      <c r="C20">
        <v>48</v>
      </c>
      <c r="D20">
        <f t="shared" si="0"/>
        <v>48</v>
      </c>
      <c r="F20">
        <v>10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1:17" x14ac:dyDescent="0.2">
      <c r="A21" s="133">
        <v>40634</v>
      </c>
      <c r="B21" s="3">
        <v>0.05</v>
      </c>
      <c r="C21">
        <v>42</v>
      </c>
      <c r="D21">
        <f t="shared" si="0"/>
        <v>42</v>
      </c>
      <c r="F21">
        <v>10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1:17" x14ac:dyDescent="0.2">
      <c r="A22" s="133">
        <v>40664</v>
      </c>
      <c r="B22" s="3">
        <v>0.05</v>
      </c>
      <c r="C22">
        <v>42</v>
      </c>
      <c r="D22">
        <f t="shared" si="0"/>
        <v>42</v>
      </c>
      <c r="F22">
        <v>10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 x14ac:dyDescent="0.2">
      <c r="A23" s="133">
        <v>40695</v>
      </c>
      <c r="B23" s="3">
        <v>0.05</v>
      </c>
      <c r="C23">
        <v>42</v>
      </c>
      <c r="D23">
        <f t="shared" si="0"/>
        <v>42</v>
      </c>
      <c r="F23">
        <v>10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1:17" x14ac:dyDescent="0.2">
      <c r="A24" s="133">
        <v>40725</v>
      </c>
      <c r="B24" s="3">
        <v>0.05</v>
      </c>
      <c r="C24">
        <v>42</v>
      </c>
      <c r="D24">
        <f t="shared" si="0"/>
        <v>42</v>
      </c>
      <c r="F24">
        <v>10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1:17" x14ac:dyDescent="0.2">
      <c r="A25" s="133">
        <v>40756</v>
      </c>
      <c r="B25" s="3">
        <v>0.05</v>
      </c>
      <c r="C25">
        <v>42</v>
      </c>
      <c r="D25">
        <f t="shared" si="0"/>
        <v>42</v>
      </c>
      <c r="F25">
        <v>10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1:17" x14ac:dyDescent="0.2">
      <c r="A26" s="133">
        <v>40787</v>
      </c>
      <c r="B26" s="3">
        <v>0.05</v>
      </c>
      <c r="C26">
        <v>42</v>
      </c>
      <c r="D26">
        <f t="shared" si="0"/>
        <v>42</v>
      </c>
      <c r="F26">
        <v>10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 x14ac:dyDescent="0.2">
      <c r="A27" s="133">
        <v>40817</v>
      </c>
      <c r="B27" s="3">
        <v>0.05</v>
      </c>
      <c r="C27">
        <v>42</v>
      </c>
      <c r="D27">
        <f t="shared" si="0"/>
        <v>42</v>
      </c>
      <c r="F27">
        <v>10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1:17" x14ac:dyDescent="0.2">
      <c r="A28" s="133">
        <v>40848</v>
      </c>
      <c r="B28" s="3">
        <v>0.05</v>
      </c>
      <c r="C28">
        <v>42</v>
      </c>
      <c r="D28">
        <f t="shared" si="0"/>
        <v>42</v>
      </c>
      <c r="F28">
        <v>10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 x14ac:dyDescent="0.2">
      <c r="A29" s="133">
        <v>40878</v>
      </c>
      <c r="B29" s="3">
        <v>0.05</v>
      </c>
      <c r="C29">
        <v>42</v>
      </c>
      <c r="D29">
        <f t="shared" si="0"/>
        <v>42</v>
      </c>
      <c r="F29">
        <v>10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 x14ac:dyDescent="0.2">
      <c r="A30" s="133">
        <v>40909</v>
      </c>
      <c r="B30" s="3">
        <v>0.05</v>
      </c>
      <c r="C30">
        <v>42</v>
      </c>
      <c r="D30">
        <f t="shared" si="0"/>
        <v>42</v>
      </c>
      <c r="F30">
        <v>10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1:17" x14ac:dyDescent="0.2">
      <c r="A31" s="133">
        <v>40940</v>
      </c>
      <c r="B31" s="3">
        <v>0.05</v>
      </c>
      <c r="C31">
        <v>42</v>
      </c>
      <c r="D31">
        <f t="shared" si="0"/>
        <v>42</v>
      </c>
      <c r="F31">
        <v>10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1:17" x14ac:dyDescent="0.2">
      <c r="A32" s="133">
        <v>40969</v>
      </c>
      <c r="B32" s="3">
        <v>0.05</v>
      </c>
      <c r="C32">
        <v>42</v>
      </c>
      <c r="D32">
        <f t="shared" si="0"/>
        <v>42</v>
      </c>
      <c r="F32">
        <v>10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1:17" x14ac:dyDescent="0.2">
      <c r="A33" s="133">
        <v>41000</v>
      </c>
      <c r="B33" s="3">
        <v>0.05</v>
      </c>
      <c r="C33">
        <v>42</v>
      </c>
      <c r="D33">
        <f t="shared" si="0"/>
        <v>42</v>
      </c>
      <c r="F33">
        <v>10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1:17" x14ac:dyDescent="0.2">
      <c r="A34" s="133">
        <v>41030</v>
      </c>
      <c r="B34" s="3">
        <v>0.05</v>
      </c>
      <c r="C34">
        <v>42</v>
      </c>
      <c r="D34">
        <f t="shared" si="0"/>
        <v>42</v>
      </c>
      <c r="F34">
        <v>10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</row>
    <row r="35" spans="1:17" x14ac:dyDescent="0.2">
      <c r="A35" s="133">
        <v>41061</v>
      </c>
      <c r="B35" s="3">
        <v>0.05</v>
      </c>
      <c r="C35">
        <v>42</v>
      </c>
      <c r="D35">
        <f t="shared" si="0"/>
        <v>42</v>
      </c>
      <c r="F35">
        <v>10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1:17" x14ac:dyDescent="0.2">
      <c r="A36" s="133">
        <v>41091</v>
      </c>
      <c r="B36" s="3">
        <v>0.05</v>
      </c>
      <c r="C36">
        <v>42</v>
      </c>
      <c r="D36">
        <f t="shared" si="0"/>
        <v>42</v>
      </c>
      <c r="E36">
        <f>42/1.05</f>
        <v>40</v>
      </c>
      <c r="F36">
        <v>10</v>
      </c>
      <c r="G36">
        <v>20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1:17" x14ac:dyDescent="0.2">
      <c r="A37" s="133">
        <v>41122</v>
      </c>
      <c r="B37" s="3">
        <v>0.05</v>
      </c>
      <c r="C37">
        <v>42</v>
      </c>
      <c r="D37">
        <f t="shared" si="0"/>
        <v>42</v>
      </c>
      <c r="E37">
        <f t="shared" ref="E37:E44" si="1">42/1.05</f>
        <v>40</v>
      </c>
      <c r="F37">
        <v>10</v>
      </c>
      <c r="G37">
        <v>20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1:17" x14ac:dyDescent="0.2">
      <c r="A38" s="133">
        <v>41153</v>
      </c>
      <c r="B38" s="3">
        <v>0.05</v>
      </c>
      <c r="C38">
        <v>42</v>
      </c>
      <c r="D38">
        <f t="shared" si="0"/>
        <v>42</v>
      </c>
      <c r="E38">
        <f t="shared" si="1"/>
        <v>40</v>
      </c>
      <c r="F38">
        <v>10</v>
      </c>
      <c r="G38">
        <v>20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1:17" x14ac:dyDescent="0.2">
      <c r="A39" s="133">
        <v>41183</v>
      </c>
      <c r="B39" s="3">
        <v>0.05</v>
      </c>
      <c r="C39">
        <v>42</v>
      </c>
      <c r="D39">
        <f t="shared" si="0"/>
        <v>42</v>
      </c>
      <c r="E39">
        <f t="shared" si="1"/>
        <v>40</v>
      </c>
      <c r="F39">
        <v>10</v>
      </c>
      <c r="G39">
        <v>20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1:17" x14ac:dyDescent="0.2">
      <c r="A40" s="133">
        <v>41214</v>
      </c>
      <c r="B40" s="3">
        <v>0.05</v>
      </c>
      <c r="C40">
        <v>42</v>
      </c>
      <c r="D40">
        <f t="shared" si="0"/>
        <v>42</v>
      </c>
      <c r="E40">
        <f t="shared" si="1"/>
        <v>40</v>
      </c>
      <c r="F40">
        <v>10</v>
      </c>
      <c r="G40">
        <v>20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1:17" x14ac:dyDescent="0.2">
      <c r="A41" s="133">
        <v>41244</v>
      </c>
      <c r="B41" s="3">
        <v>0.05</v>
      </c>
      <c r="C41">
        <v>42</v>
      </c>
      <c r="D41">
        <f t="shared" si="0"/>
        <v>42</v>
      </c>
      <c r="E41">
        <f t="shared" si="1"/>
        <v>40</v>
      </c>
      <c r="F41">
        <v>10</v>
      </c>
      <c r="G41">
        <v>20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1:17" x14ac:dyDescent="0.2">
      <c r="A42" s="133">
        <v>41275</v>
      </c>
      <c r="B42" s="3">
        <v>0.05</v>
      </c>
      <c r="C42">
        <v>42</v>
      </c>
      <c r="D42">
        <f t="shared" si="0"/>
        <v>42</v>
      </c>
      <c r="E42">
        <f t="shared" si="1"/>
        <v>40</v>
      </c>
      <c r="F42">
        <v>10</v>
      </c>
      <c r="G42">
        <v>20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1:17" x14ac:dyDescent="0.2">
      <c r="A43" s="133">
        <v>41306</v>
      </c>
      <c r="B43" s="3">
        <v>0.05</v>
      </c>
      <c r="C43">
        <v>42</v>
      </c>
      <c r="D43">
        <f t="shared" si="0"/>
        <v>42</v>
      </c>
      <c r="E43">
        <f t="shared" si="1"/>
        <v>40</v>
      </c>
      <c r="F43">
        <v>10</v>
      </c>
      <c r="G43">
        <v>20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</row>
    <row r="44" spans="1:17" x14ac:dyDescent="0.2">
      <c r="A44" s="133">
        <v>41334</v>
      </c>
      <c r="B44" s="3">
        <v>0.05</v>
      </c>
      <c r="C44">
        <v>42</v>
      </c>
      <c r="D44">
        <f t="shared" si="0"/>
        <v>42</v>
      </c>
      <c r="E44">
        <f t="shared" si="1"/>
        <v>40</v>
      </c>
      <c r="F44">
        <v>10</v>
      </c>
      <c r="G44">
        <v>20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</row>
    <row r="45" spans="1:17" x14ac:dyDescent="0.2">
      <c r="A45" s="133">
        <v>41365</v>
      </c>
      <c r="B45" s="3">
        <v>0.05</v>
      </c>
      <c r="C45">
        <v>38</v>
      </c>
      <c r="D45">
        <f t="shared" si="0"/>
        <v>38</v>
      </c>
      <c r="E45">
        <v>36</v>
      </c>
      <c r="F45">
        <v>10</v>
      </c>
      <c r="G45">
        <v>20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</row>
    <row r="46" spans="1:17" x14ac:dyDescent="0.2">
      <c r="A46" s="133">
        <v>41395</v>
      </c>
      <c r="B46" s="3">
        <v>0.05</v>
      </c>
      <c r="C46">
        <v>38</v>
      </c>
      <c r="D46">
        <f t="shared" si="0"/>
        <v>38</v>
      </c>
      <c r="E46">
        <v>36</v>
      </c>
      <c r="F46">
        <v>10</v>
      </c>
      <c r="G46">
        <v>20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</row>
    <row r="47" spans="1:17" x14ac:dyDescent="0.2">
      <c r="A47" s="133">
        <v>41426</v>
      </c>
      <c r="B47" s="3">
        <v>0.05</v>
      </c>
      <c r="C47">
        <v>38</v>
      </c>
      <c r="D47">
        <f t="shared" si="0"/>
        <v>38</v>
      </c>
      <c r="E47">
        <v>36</v>
      </c>
      <c r="F47">
        <v>10</v>
      </c>
      <c r="G47">
        <v>20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1:17" x14ac:dyDescent="0.2">
      <c r="A48" s="133">
        <v>41456</v>
      </c>
      <c r="B48" s="3">
        <v>0.05</v>
      </c>
      <c r="C48">
        <v>38</v>
      </c>
      <c r="D48">
        <f t="shared" si="0"/>
        <v>38</v>
      </c>
      <c r="E48">
        <v>36</v>
      </c>
      <c r="F48">
        <v>10</v>
      </c>
      <c r="G48">
        <v>20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1:17" x14ac:dyDescent="0.2">
      <c r="A49" s="133">
        <v>41487</v>
      </c>
      <c r="B49" s="3">
        <v>0.05</v>
      </c>
      <c r="C49">
        <v>38</v>
      </c>
      <c r="D49">
        <f t="shared" si="0"/>
        <v>38</v>
      </c>
      <c r="E49">
        <v>36</v>
      </c>
      <c r="F49">
        <v>10</v>
      </c>
      <c r="G49">
        <v>20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 x14ac:dyDescent="0.2">
      <c r="A50" s="133">
        <v>41518</v>
      </c>
      <c r="B50" s="3">
        <v>0.05</v>
      </c>
      <c r="C50">
        <v>38</v>
      </c>
      <c r="D50">
        <f t="shared" si="0"/>
        <v>38</v>
      </c>
      <c r="E50">
        <v>36</v>
      </c>
      <c r="F50">
        <v>10</v>
      </c>
      <c r="G50">
        <v>20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1:17" x14ac:dyDescent="0.2">
      <c r="A51" s="133">
        <v>41548</v>
      </c>
      <c r="B51" s="3">
        <v>0.05</v>
      </c>
      <c r="C51">
        <v>38</v>
      </c>
      <c r="D51">
        <f t="shared" si="0"/>
        <v>38</v>
      </c>
      <c r="E51">
        <v>36</v>
      </c>
      <c r="F51">
        <v>10</v>
      </c>
      <c r="G51">
        <v>20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1:17" x14ac:dyDescent="0.2">
      <c r="A52" s="133">
        <v>41579</v>
      </c>
      <c r="B52" s="3">
        <v>0.05</v>
      </c>
      <c r="C52">
        <v>38</v>
      </c>
      <c r="D52">
        <f t="shared" si="0"/>
        <v>38</v>
      </c>
      <c r="E52">
        <v>36</v>
      </c>
      <c r="F52">
        <v>10</v>
      </c>
      <c r="G52">
        <v>20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1:17" x14ac:dyDescent="0.2">
      <c r="A53" s="133">
        <v>41609</v>
      </c>
      <c r="B53" s="3">
        <v>0.05</v>
      </c>
      <c r="C53">
        <v>38</v>
      </c>
      <c r="D53">
        <f t="shared" si="0"/>
        <v>38</v>
      </c>
      <c r="E53">
        <v>36</v>
      </c>
      <c r="F53">
        <v>10</v>
      </c>
      <c r="G53">
        <v>20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1:17" x14ac:dyDescent="0.2">
      <c r="A54" s="133">
        <v>41640</v>
      </c>
      <c r="B54" s="3">
        <v>0.05</v>
      </c>
      <c r="C54">
        <v>38</v>
      </c>
      <c r="D54">
        <f t="shared" si="0"/>
        <v>38</v>
      </c>
      <c r="E54">
        <v>36</v>
      </c>
      <c r="F54">
        <v>10</v>
      </c>
      <c r="G54">
        <v>20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1:17" x14ac:dyDescent="0.2">
      <c r="A55" s="133">
        <v>41671</v>
      </c>
      <c r="B55" s="3">
        <v>0.05</v>
      </c>
      <c r="C55">
        <v>38</v>
      </c>
      <c r="D55">
        <f t="shared" si="0"/>
        <v>38</v>
      </c>
      <c r="E55">
        <v>36</v>
      </c>
      <c r="F55">
        <v>10</v>
      </c>
      <c r="G55">
        <v>20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1:17" x14ac:dyDescent="0.2">
      <c r="A56" s="133">
        <v>41699</v>
      </c>
      <c r="B56" s="3">
        <v>0.05</v>
      </c>
      <c r="C56">
        <v>38</v>
      </c>
      <c r="D56">
        <f>C56</f>
        <v>38</v>
      </c>
      <c r="E56">
        <v>36</v>
      </c>
      <c r="F56">
        <v>10</v>
      </c>
      <c r="G56">
        <v>20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1:17" x14ac:dyDescent="0.2">
      <c r="A57" s="133">
        <v>41730</v>
      </c>
      <c r="B57" s="3">
        <v>0.08</v>
      </c>
      <c r="C57">
        <v>37</v>
      </c>
      <c r="D57">
        <f>C57</f>
        <v>37</v>
      </c>
      <c r="E57">
        <v>32</v>
      </c>
      <c r="F57">
        <v>10</v>
      </c>
      <c r="G57">
        <v>20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1:17" x14ac:dyDescent="0.2">
      <c r="A58" s="133">
        <v>41760</v>
      </c>
      <c r="B58" s="3">
        <v>0.08</v>
      </c>
      <c r="C58">
        <v>37</v>
      </c>
      <c r="D58">
        <f>C58</f>
        <v>37</v>
      </c>
      <c r="E58">
        <v>32</v>
      </c>
      <c r="F58">
        <v>10</v>
      </c>
      <c r="G58">
        <v>20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</row>
    <row r="59" spans="1:17" x14ac:dyDescent="0.2">
      <c r="A59" s="133">
        <v>41791</v>
      </c>
      <c r="B59" s="3">
        <v>0.08</v>
      </c>
      <c r="C59">
        <v>37</v>
      </c>
      <c r="D59">
        <f t="shared" ref="D59:D68" si="2">C59</f>
        <v>37</v>
      </c>
      <c r="E59">
        <v>32</v>
      </c>
      <c r="F59">
        <v>10</v>
      </c>
      <c r="G59">
        <v>20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1:17" x14ac:dyDescent="0.2">
      <c r="A60" s="133">
        <v>41821</v>
      </c>
      <c r="B60" s="3">
        <v>0.08</v>
      </c>
      <c r="C60">
        <v>37</v>
      </c>
      <c r="D60">
        <f t="shared" si="2"/>
        <v>37</v>
      </c>
      <c r="E60">
        <v>32</v>
      </c>
      <c r="F60">
        <v>10</v>
      </c>
      <c r="G60">
        <v>20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1:17" x14ac:dyDescent="0.2">
      <c r="A61" s="133">
        <v>41852</v>
      </c>
      <c r="B61" s="3">
        <v>0.08</v>
      </c>
      <c r="C61">
        <v>37</v>
      </c>
      <c r="D61">
        <f t="shared" si="2"/>
        <v>37</v>
      </c>
      <c r="E61">
        <v>32</v>
      </c>
      <c r="F61">
        <v>10</v>
      </c>
      <c r="G61">
        <v>20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</row>
    <row r="62" spans="1:17" x14ac:dyDescent="0.2">
      <c r="A62" s="133">
        <v>41883</v>
      </c>
      <c r="B62" s="3">
        <v>0.08</v>
      </c>
      <c r="C62">
        <v>37</v>
      </c>
      <c r="D62">
        <f t="shared" si="2"/>
        <v>37</v>
      </c>
      <c r="E62">
        <v>32</v>
      </c>
      <c r="F62">
        <v>10</v>
      </c>
      <c r="G62">
        <v>20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x14ac:dyDescent="0.2">
      <c r="A63" s="133">
        <v>41913</v>
      </c>
      <c r="B63" s="3">
        <v>0.08</v>
      </c>
      <c r="C63">
        <v>37</v>
      </c>
      <c r="D63">
        <f t="shared" si="2"/>
        <v>37</v>
      </c>
      <c r="E63">
        <v>32</v>
      </c>
      <c r="F63">
        <v>10</v>
      </c>
      <c r="G63">
        <v>20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</row>
    <row r="64" spans="1:17" x14ac:dyDescent="0.2">
      <c r="A64" s="133">
        <v>41944</v>
      </c>
      <c r="B64" s="3">
        <v>0.08</v>
      </c>
      <c r="C64">
        <v>37</v>
      </c>
      <c r="D64">
        <f t="shared" si="2"/>
        <v>37</v>
      </c>
      <c r="E64">
        <v>32</v>
      </c>
      <c r="F64">
        <v>10</v>
      </c>
      <c r="G64">
        <v>20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x14ac:dyDescent="0.2">
      <c r="A65" s="133">
        <v>41974</v>
      </c>
      <c r="B65" s="3">
        <v>0.08</v>
      </c>
      <c r="C65">
        <v>37</v>
      </c>
      <c r="D65">
        <f t="shared" si="2"/>
        <v>37</v>
      </c>
      <c r="E65">
        <v>32</v>
      </c>
      <c r="F65">
        <v>10</v>
      </c>
      <c r="G65">
        <v>20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x14ac:dyDescent="0.2">
      <c r="A66" s="133">
        <v>42005</v>
      </c>
      <c r="B66" s="3">
        <v>0.08</v>
      </c>
      <c r="C66">
        <v>37</v>
      </c>
      <c r="D66">
        <f t="shared" si="2"/>
        <v>37</v>
      </c>
      <c r="E66">
        <v>32</v>
      </c>
      <c r="F66">
        <v>10</v>
      </c>
      <c r="G66">
        <v>20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1:17" x14ac:dyDescent="0.2">
      <c r="A67" s="133">
        <v>42036</v>
      </c>
      <c r="B67" s="3">
        <v>0.08</v>
      </c>
      <c r="C67">
        <v>37</v>
      </c>
      <c r="D67">
        <f t="shared" si="2"/>
        <v>37</v>
      </c>
      <c r="E67">
        <v>32</v>
      </c>
      <c r="F67">
        <v>10</v>
      </c>
      <c r="G67">
        <v>20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x14ac:dyDescent="0.2">
      <c r="A68" s="133">
        <v>42064</v>
      </c>
      <c r="B68" s="3">
        <v>0.08</v>
      </c>
      <c r="C68">
        <v>37</v>
      </c>
      <c r="D68">
        <f t="shared" si="2"/>
        <v>37</v>
      </c>
      <c r="E68">
        <v>32</v>
      </c>
      <c r="F68">
        <v>10</v>
      </c>
      <c r="G68">
        <v>20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1:17" x14ac:dyDescent="0.2">
      <c r="A69" s="133">
        <v>42095</v>
      </c>
      <c r="B69" s="3">
        <v>0.08</v>
      </c>
      <c r="C69">
        <v>33</v>
      </c>
      <c r="D69">
        <v>35</v>
      </c>
      <c r="E69">
        <v>29</v>
      </c>
      <c r="F69">
        <v>10</v>
      </c>
      <c r="G69">
        <v>20</v>
      </c>
      <c r="H69">
        <v>0</v>
      </c>
      <c r="I69">
        <v>0</v>
      </c>
      <c r="J69">
        <v>0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</row>
    <row r="70" spans="1:17" x14ac:dyDescent="0.2">
      <c r="A70" s="133">
        <v>42125</v>
      </c>
      <c r="B70" s="3">
        <v>0.08</v>
      </c>
      <c r="C70">
        <v>33</v>
      </c>
      <c r="D70">
        <v>35</v>
      </c>
      <c r="E70">
        <v>29</v>
      </c>
      <c r="F70">
        <v>10</v>
      </c>
      <c r="G70">
        <v>20</v>
      </c>
      <c r="H70">
        <v>0</v>
      </c>
      <c r="I70">
        <v>0</v>
      </c>
      <c r="J70">
        <v>0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</row>
    <row r="71" spans="1:17" x14ac:dyDescent="0.2">
      <c r="A71" s="133">
        <v>42156</v>
      </c>
      <c r="B71" s="3">
        <v>0.08</v>
      </c>
      <c r="C71">
        <v>33</v>
      </c>
      <c r="D71">
        <v>35</v>
      </c>
      <c r="E71">
        <v>29</v>
      </c>
      <c r="F71">
        <v>10</v>
      </c>
      <c r="G71">
        <v>20</v>
      </c>
      <c r="H71">
        <v>0</v>
      </c>
      <c r="I71">
        <v>0</v>
      </c>
      <c r="J71">
        <v>0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</row>
    <row r="72" spans="1:17" x14ac:dyDescent="0.2">
      <c r="A72" s="133">
        <v>42186</v>
      </c>
      <c r="B72" s="3">
        <v>0.08</v>
      </c>
      <c r="C72">
        <v>33</v>
      </c>
      <c r="D72">
        <v>35</v>
      </c>
      <c r="E72">
        <v>27</v>
      </c>
      <c r="F72">
        <v>10</v>
      </c>
      <c r="G72">
        <v>20</v>
      </c>
      <c r="H72">
        <v>0</v>
      </c>
      <c r="I72">
        <v>0</v>
      </c>
      <c r="J72">
        <v>0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</row>
    <row r="73" spans="1:17" x14ac:dyDescent="0.2">
      <c r="A73" s="133">
        <v>42217</v>
      </c>
      <c r="B73" s="3">
        <v>0.08</v>
      </c>
      <c r="C73">
        <v>33</v>
      </c>
      <c r="D73">
        <v>35</v>
      </c>
      <c r="E73">
        <v>27</v>
      </c>
      <c r="F73">
        <v>10</v>
      </c>
      <c r="G73">
        <v>20</v>
      </c>
      <c r="H73">
        <v>0</v>
      </c>
      <c r="I73">
        <v>0</v>
      </c>
      <c r="J73">
        <v>0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</row>
    <row r="74" spans="1:17" x14ac:dyDescent="0.2">
      <c r="A74" s="133">
        <v>42248</v>
      </c>
      <c r="B74" s="3">
        <v>0.08</v>
      </c>
      <c r="C74">
        <v>33</v>
      </c>
      <c r="D74">
        <v>35</v>
      </c>
      <c r="E74">
        <v>27</v>
      </c>
      <c r="F74">
        <v>10</v>
      </c>
      <c r="G74">
        <v>20</v>
      </c>
      <c r="H74">
        <v>0</v>
      </c>
      <c r="I74">
        <v>0</v>
      </c>
      <c r="J74">
        <v>0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</row>
    <row r="75" spans="1:17" x14ac:dyDescent="0.2">
      <c r="A75" s="133">
        <v>42278</v>
      </c>
      <c r="B75" s="3">
        <v>0.08</v>
      </c>
      <c r="C75">
        <v>33</v>
      </c>
      <c r="D75">
        <v>35</v>
      </c>
      <c r="E75">
        <v>27</v>
      </c>
      <c r="F75">
        <v>10</v>
      </c>
      <c r="G75">
        <v>20</v>
      </c>
      <c r="H75">
        <v>0</v>
      </c>
      <c r="I75">
        <v>0</v>
      </c>
      <c r="J75">
        <v>0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</row>
    <row r="76" spans="1:17" x14ac:dyDescent="0.2">
      <c r="A76" s="133">
        <v>42309</v>
      </c>
      <c r="B76" s="3">
        <v>0.08</v>
      </c>
      <c r="C76">
        <v>33</v>
      </c>
      <c r="D76">
        <v>35</v>
      </c>
      <c r="E76">
        <v>27</v>
      </c>
      <c r="F76">
        <v>10</v>
      </c>
      <c r="G76">
        <v>20</v>
      </c>
      <c r="H76">
        <v>0</v>
      </c>
      <c r="I76">
        <v>0</v>
      </c>
      <c r="J76">
        <v>0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</row>
    <row r="77" spans="1:17" x14ac:dyDescent="0.2">
      <c r="A77" s="133">
        <v>42339</v>
      </c>
      <c r="B77" s="3">
        <v>0.08</v>
      </c>
      <c r="C77">
        <v>33</v>
      </c>
      <c r="D77">
        <v>35</v>
      </c>
      <c r="E77">
        <v>27</v>
      </c>
      <c r="F77">
        <v>10</v>
      </c>
      <c r="G77">
        <v>20</v>
      </c>
      <c r="H77">
        <v>0</v>
      </c>
      <c r="I77">
        <v>0</v>
      </c>
      <c r="J77">
        <v>0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</row>
    <row r="78" spans="1:17" x14ac:dyDescent="0.2">
      <c r="A78" s="133">
        <v>42370</v>
      </c>
      <c r="B78" s="3">
        <v>0.08</v>
      </c>
      <c r="C78">
        <v>33</v>
      </c>
      <c r="D78">
        <v>35</v>
      </c>
      <c r="E78">
        <v>27</v>
      </c>
      <c r="F78">
        <v>10</v>
      </c>
      <c r="G78">
        <v>20</v>
      </c>
      <c r="H78">
        <v>0</v>
      </c>
      <c r="I78">
        <v>0</v>
      </c>
      <c r="J78">
        <v>0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</row>
    <row r="79" spans="1:17" x14ac:dyDescent="0.2">
      <c r="A79" s="133">
        <v>42401</v>
      </c>
      <c r="B79" s="3">
        <v>0.08</v>
      </c>
      <c r="C79">
        <v>33</v>
      </c>
      <c r="D79">
        <v>35</v>
      </c>
      <c r="E79">
        <v>27</v>
      </c>
      <c r="F79">
        <v>10</v>
      </c>
      <c r="G79">
        <v>20</v>
      </c>
      <c r="H79">
        <v>0</v>
      </c>
      <c r="I79">
        <v>0</v>
      </c>
      <c r="J79">
        <v>0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</row>
    <row r="80" spans="1:17" x14ac:dyDescent="0.2">
      <c r="A80" s="133">
        <v>42430</v>
      </c>
      <c r="B80" s="3">
        <v>0.08</v>
      </c>
      <c r="C80">
        <v>33</v>
      </c>
      <c r="D80">
        <v>35</v>
      </c>
      <c r="E80">
        <v>27</v>
      </c>
      <c r="F80">
        <v>10</v>
      </c>
      <c r="G80">
        <v>20</v>
      </c>
      <c r="H80">
        <v>0</v>
      </c>
      <c r="I80">
        <v>0</v>
      </c>
      <c r="J80">
        <v>0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</row>
    <row r="81" spans="1:17" x14ac:dyDescent="0.2">
      <c r="A81" s="133">
        <v>42461</v>
      </c>
      <c r="B81" s="3">
        <v>0.08</v>
      </c>
      <c r="C81" s="134">
        <f>C80</f>
        <v>33</v>
      </c>
      <c r="D81" s="134">
        <f>D80</f>
        <v>35</v>
      </c>
      <c r="E81" s="134">
        <f>E80</f>
        <v>27</v>
      </c>
      <c r="F81" s="134">
        <v>10</v>
      </c>
      <c r="G81" s="134">
        <v>20</v>
      </c>
      <c r="H81" s="134">
        <f>H80</f>
        <v>0</v>
      </c>
      <c r="I81" s="134">
        <f t="shared" ref="I81:Q81" si="3">I80</f>
        <v>0</v>
      </c>
      <c r="J81" s="134">
        <f t="shared" si="3"/>
        <v>0</v>
      </c>
      <c r="K81" s="134">
        <f t="shared" si="3"/>
        <v>1</v>
      </c>
      <c r="L81" s="134">
        <f t="shared" si="3"/>
        <v>1</v>
      </c>
      <c r="M81" s="134">
        <f t="shared" si="3"/>
        <v>1</v>
      </c>
      <c r="N81" s="134">
        <f t="shared" si="3"/>
        <v>1</v>
      </c>
      <c r="O81" s="134">
        <f t="shared" si="3"/>
        <v>1</v>
      </c>
      <c r="P81" s="134">
        <f t="shared" si="3"/>
        <v>1</v>
      </c>
      <c r="Q81" s="134">
        <f t="shared" si="3"/>
        <v>1</v>
      </c>
    </row>
    <row r="82" spans="1:17" x14ac:dyDescent="0.2">
      <c r="A82" s="133">
        <v>42491</v>
      </c>
      <c r="B82" s="3">
        <v>0.08</v>
      </c>
      <c r="C82" s="134">
        <f t="shared" ref="C82:D137" si="4">C81</f>
        <v>33</v>
      </c>
      <c r="D82" s="134">
        <f t="shared" si="4"/>
        <v>35</v>
      </c>
      <c r="E82" s="134">
        <f t="shared" ref="E82:E137" si="5">E81</f>
        <v>27</v>
      </c>
      <c r="F82" s="134">
        <v>10</v>
      </c>
      <c r="G82" s="134">
        <v>20</v>
      </c>
      <c r="H82" s="134">
        <f t="shared" ref="H82:H137" si="6">H81</f>
        <v>0</v>
      </c>
      <c r="I82" s="134">
        <f t="shared" ref="I82:I137" si="7">I81</f>
        <v>0</v>
      </c>
      <c r="J82" s="134">
        <f t="shared" ref="J82:J137" si="8">J81</f>
        <v>0</v>
      </c>
      <c r="K82" s="134">
        <f t="shared" ref="K82:K137" si="9">K81</f>
        <v>1</v>
      </c>
      <c r="L82" s="134">
        <f t="shared" ref="L82:L137" si="10">L81</f>
        <v>1</v>
      </c>
      <c r="M82" s="134">
        <f t="shared" ref="M82:M137" si="11">M81</f>
        <v>1</v>
      </c>
      <c r="N82" s="134">
        <f t="shared" ref="N82:N137" si="12">N81</f>
        <v>1</v>
      </c>
      <c r="O82" s="134">
        <f t="shared" ref="O82:O137" si="13">O81</f>
        <v>1</v>
      </c>
      <c r="P82" s="134">
        <f t="shared" ref="P82:P137" si="14">P81</f>
        <v>1</v>
      </c>
      <c r="Q82" s="134">
        <f t="shared" ref="Q82:Q137" si="15">Q81</f>
        <v>1</v>
      </c>
    </row>
    <row r="83" spans="1:17" x14ac:dyDescent="0.2">
      <c r="A83" s="133">
        <v>42522</v>
      </c>
      <c r="B83" s="3">
        <v>0.08</v>
      </c>
      <c r="C83" s="134">
        <f t="shared" si="4"/>
        <v>33</v>
      </c>
      <c r="D83" s="134">
        <f t="shared" si="4"/>
        <v>35</v>
      </c>
      <c r="E83" s="134">
        <f t="shared" si="5"/>
        <v>27</v>
      </c>
      <c r="F83" s="134">
        <v>10</v>
      </c>
      <c r="G83" s="134">
        <v>20</v>
      </c>
      <c r="H83" s="134">
        <f t="shared" si="6"/>
        <v>0</v>
      </c>
      <c r="I83" s="134">
        <f t="shared" si="7"/>
        <v>0</v>
      </c>
      <c r="J83" s="134">
        <f t="shared" si="8"/>
        <v>0</v>
      </c>
      <c r="K83" s="134">
        <f t="shared" si="9"/>
        <v>1</v>
      </c>
      <c r="L83" s="134">
        <f t="shared" si="10"/>
        <v>1</v>
      </c>
      <c r="M83" s="134">
        <f t="shared" si="11"/>
        <v>1</v>
      </c>
      <c r="N83" s="134">
        <f t="shared" si="12"/>
        <v>1</v>
      </c>
      <c r="O83" s="134">
        <f t="shared" si="13"/>
        <v>1</v>
      </c>
      <c r="P83" s="134">
        <f t="shared" si="14"/>
        <v>1</v>
      </c>
      <c r="Q83" s="134">
        <f t="shared" si="15"/>
        <v>1</v>
      </c>
    </row>
    <row r="84" spans="1:17" x14ac:dyDescent="0.2">
      <c r="A84" s="133">
        <v>42552</v>
      </c>
      <c r="B84" s="3">
        <v>0.08</v>
      </c>
      <c r="C84" s="134">
        <f t="shared" si="4"/>
        <v>33</v>
      </c>
      <c r="D84" s="134">
        <f t="shared" si="4"/>
        <v>35</v>
      </c>
      <c r="E84" s="134">
        <f t="shared" si="5"/>
        <v>27</v>
      </c>
      <c r="F84" s="134">
        <v>10</v>
      </c>
      <c r="G84" s="134">
        <v>20</v>
      </c>
      <c r="H84" s="134">
        <f t="shared" si="6"/>
        <v>0</v>
      </c>
      <c r="I84" s="134">
        <f t="shared" si="7"/>
        <v>0</v>
      </c>
      <c r="J84" s="134">
        <f t="shared" si="8"/>
        <v>0</v>
      </c>
      <c r="K84" s="134">
        <f t="shared" si="9"/>
        <v>1</v>
      </c>
      <c r="L84" s="134">
        <f t="shared" si="10"/>
        <v>1</v>
      </c>
      <c r="M84" s="134">
        <f t="shared" si="11"/>
        <v>1</v>
      </c>
      <c r="N84" s="134">
        <f t="shared" si="12"/>
        <v>1</v>
      </c>
      <c r="O84" s="134">
        <f t="shared" si="13"/>
        <v>1</v>
      </c>
      <c r="P84" s="134">
        <f t="shared" si="14"/>
        <v>1</v>
      </c>
      <c r="Q84" s="134">
        <f t="shared" si="15"/>
        <v>1</v>
      </c>
    </row>
    <row r="85" spans="1:17" x14ac:dyDescent="0.2">
      <c r="A85" s="133">
        <v>42583</v>
      </c>
      <c r="B85" s="3">
        <v>0.08</v>
      </c>
      <c r="C85" s="134">
        <f t="shared" si="4"/>
        <v>33</v>
      </c>
      <c r="D85" s="134">
        <f t="shared" si="4"/>
        <v>35</v>
      </c>
      <c r="E85" s="134">
        <f t="shared" si="5"/>
        <v>27</v>
      </c>
      <c r="F85" s="134">
        <v>10</v>
      </c>
      <c r="G85" s="134">
        <v>20</v>
      </c>
      <c r="H85" s="134">
        <f t="shared" si="6"/>
        <v>0</v>
      </c>
      <c r="I85" s="134">
        <f t="shared" si="7"/>
        <v>0</v>
      </c>
      <c r="J85" s="134">
        <f t="shared" si="8"/>
        <v>0</v>
      </c>
      <c r="K85" s="134">
        <f t="shared" si="9"/>
        <v>1</v>
      </c>
      <c r="L85" s="134">
        <f t="shared" si="10"/>
        <v>1</v>
      </c>
      <c r="M85" s="134">
        <f t="shared" si="11"/>
        <v>1</v>
      </c>
      <c r="N85" s="134">
        <f t="shared" si="12"/>
        <v>1</v>
      </c>
      <c r="O85" s="134">
        <f t="shared" si="13"/>
        <v>1</v>
      </c>
      <c r="P85" s="134">
        <f t="shared" si="14"/>
        <v>1</v>
      </c>
      <c r="Q85" s="134">
        <f t="shared" si="15"/>
        <v>1</v>
      </c>
    </row>
    <row r="86" spans="1:17" x14ac:dyDescent="0.2">
      <c r="A86" s="133">
        <v>42614</v>
      </c>
      <c r="B86" s="3">
        <v>0.08</v>
      </c>
      <c r="C86" s="134">
        <f t="shared" si="4"/>
        <v>33</v>
      </c>
      <c r="D86" s="134">
        <f t="shared" si="4"/>
        <v>35</v>
      </c>
      <c r="E86" s="134">
        <f t="shared" si="5"/>
        <v>27</v>
      </c>
      <c r="F86" s="134">
        <v>10</v>
      </c>
      <c r="G86" s="134">
        <v>20</v>
      </c>
      <c r="H86" s="134">
        <f t="shared" si="6"/>
        <v>0</v>
      </c>
      <c r="I86" s="134">
        <f t="shared" si="7"/>
        <v>0</v>
      </c>
      <c r="J86" s="134">
        <f t="shared" si="8"/>
        <v>0</v>
      </c>
      <c r="K86" s="134">
        <f t="shared" si="9"/>
        <v>1</v>
      </c>
      <c r="L86" s="134">
        <f t="shared" si="10"/>
        <v>1</v>
      </c>
      <c r="M86" s="134">
        <f t="shared" si="11"/>
        <v>1</v>
      </c>
      <c r="N86" s="134">
        <f t="shared" si="12"/>
        <v>1</v>
      </c>
      <c r="O86" s="134">
        <f t="shared" si="13"/>
        <v>1</v>
      </c>
      <c r="P86" s="134">
        <f t="shared" si="14"/>
        <v>1</v>
      </c>
      <c r="Q86" s="134">
        <f t="shared" si="15"/>
        <v>1</v>
      </c>
    </row>
    <row r="87" spans="1:17" x14ac:dyDescent="0.2">
      <c r="A87" s="133">
        <v>42644</v>
      </c>
      <c r="B87" s="3">
        <v>0.08</v>
      </c>
      <c r="C87" s="134">
        <f t="shared" si="4"/>
        <v>33</v>
      </c>
      <c r="D87" s="134">
        <f t="shared" si="4"/>
        <v>35</v>
      </c>
      <c r="E87" s="134">
        <f t="shared" si="5"/>
        <v>27</v>
      </c>
      <c r="F87" s="134">
        <v>10</v>
      </c>
      <c r="G87" s="134">
        <v>20</v>
      </c>
      <c r="H87" s="134">
        <f t="shared" si="6"/>
        <v>0</v>
      </c>
      <c r="I87" s="134">
        <f t="shared" si="7"/>
        <v>0</v>
      </c>
      <c r="J87" s="134">
        <f t="shared" si="8"/>
        <v>0</v>
      </c>
      <c r="K87" s="134">
        <f t="shared" si="9"/>
        <v>1</v>
      </c>
      <c r="L87" s="134">
        <f t="shared" si="10"/>
        <v>1</v>
      </c>
      <c r="M87" s="134">
        <f t="shared" si="11"/>
        <v>1</v>
      </c>
      <c r="N87" s="134">
        <f t="shared" si="12"/>
        <v>1</v>
      </c>
      <c r="O87" s="134">
        <f t="shared" si="13"/>
        <v>1</v>
      </c>
      <c r="P87" s="134">
        <f t="shared" si="14"/>
        <v>1</v>
      </c>
      <c r="Q87" s="134">
        <f t="shared" si="15"/>
        <v>1</v>
      </c>
    </row>
    <row r="88" spans="1:17" x14ac:dyDescent="0.2">
      <c r="A88" s="133">
        <v>42675</v>
      </c>
      <c r="B88" s="3">
        <v>0.08</v>
      </c>
      <c r="C88" s="134">
        <f t="shared" si="4"/>
        <v>33</v>
      </c>
      <c r="D88" s="134">
        <f t="shared" si="4"/>
        <v>35</v>
      </c>
      <c r="E88" s="134">
        <f t="shared" si="5"/>
        <v>27</v>
      </c>
      <c r="F88" s="134">
        <v>10</v>
      </c>
      <c r="G88" s="134">
        <v>20</v>
      </c>
      <c r="H88" s="134">
        <f t="shared" si="6"/>
        <v>0</v>
      </c>
      <c r="I88" s="134">
        <f t="shared" si="7"/>
        <v>0</v>
      </c>
      <c r="J88" s="134">
        <f t="shared" si="8"/>
        <v>0</v>
      </c>
      <c r="K88" s="134">
        <f t="shared" si="9"/>
        <v>1</v>
      </c>
      <c r="L88" s="134">
        <f t="shared" si="10"/>
        <v>1</v>
      </c>
      <c r="M88" s="134">
        <f t="shared" si="11"/>
        <v>1</v>
      </c>
      <c r="N88" s="134">
        <f t="shared" si="12"/>
        <v>1</v>
      </c>
      <c r="O88" s="134">
        <f t="shared" si="13"/>
        <v>1</v>
      </c>
      <c r="P88" s="134">
        <f t="shared" si="14"/>
        <v>1</v>
      </c>
      <c r="Q88" s="134">
        <f t="shared" si="15"/>
        <v>1</v>
      </c>
    </row>
    <row r="89" spans="1:17" x14ac:dyDescent="0.2">
      <c r="A89" s="133">
        <v>42705</v>
      </c>
      <c r="B89" s="3">
        <v>0.08</v>
      </c>
      <c r="C89" s="134">
        <f t="shared" si="4"/>
        <v>33</v>
      </c>
      <c r="D89" s="134">
        <f t="shared" si="4"/>
        <v>35</v>
      </c>
      <c r="E89" s="134">
        <f t="shared" si="5"/>
        <v>27</v>
      </c>
      <c r="F89" s="134">
        <v>10</v>
      </c>
      <c r="G89" s="134">
        <v>20</v>
      </c>
      <c r="H89" s="134">
        <f t="shared" si="6"/>
        <v>0</v>
      </c>
      <c r="I89" s="134">
        <f t="shared" si="7"/>
        <v>0</v>
      </c>
      <c r="J89" s="134">
        <f t="shared" si="8"/>
        <v>0</v>
      </c>
      <c r="K89" s="134">
        <f t="shared" si="9"/>
        <v>1</v>
      </c>
      <c r="L89" s="134">
        <f t="shared" si="10"/>
        <v>1</v>
      </c>
      <c r="M89" s="134">
        <f t="shared" si="11"/>
        <v>1</v>
      </c>
      <c r="N89" s="134">
        <f t="shared" si="12"/>
        <v>1</v>
      </c>
      <c r="O89" s="134">
        <f t="shared" si="13"/>
        <v>1</v>
      </c>
      <c r="P89" s="134">
        <f t="shared" si="14"/>
        <v>1</v>
      </c>
      <c r="Q89" s="134">
        <f t="shared" si="15"/>
        <v>1</v>
      </c>
    </row>
    <row r="90" spans="1:17" x14ac:dyDescent="0.2">
      <c r="A90" s="133">
        <v>42736</v>
      </c>
      <c r="B90" s="3">
        <v>0.08</v>
      </c>
      <c r="C90" s="134">
        <f t="shared" si="4"/>
        <v>33</v>
      </c>
      <c r="D90" s="134">
        <f t="shared" si="4"/>
        <v>35</v>
      </c>
      <c r="E90" s="134">
        <f t="shared" si="5"/>
        <v>27</v>
      </c>
      <c r="F90" s="134">
        <v>10</v>
      </c>
      <c r="G90" s="134">
        <v>20</v>
      </c>
      <c r="H90" s="134">
        <f t="shared" si="6"/>
        <v>0</v>
      </c>
      <c r="I90" s="134">
        <f t="shared" si="7"/>
        <v>0</v>
      </c>
      <c r="J90" s="134">
        <f t="shared" si="8"/>
        <v>0</v>
      </c>
      <c r="K90" s="134">
        <f t="shared" si="9"/>
        <v>1</v>
      </c>
      <c r="L90" s="134">
        <f t="shared" si="10"/>
        <v>1</v>
      </c>
      <c r="M90" s="134">
        <f t="shared" si="11"/>
        <v>1</v>
      </c>
      <c r="N90" s="134">
        <f t="shared" si="12"/>
        <v>1</v>
      </c>
      <c r="O90" s="134">
        <f t="shared" si="13"/>
        <v>1</v>
      </c>
      <c r="P90" s="134">
        <f t="shared" si="14"/>
        <v>1</v>
      </c>
      <c r="Q90" s="134">
        <f t="shared" si="15"/>
        <v>1</v>
      </c>
    </row>
    <row r="91" spans="1:17" x14ac:dyDescent="0.2">
      <c r="A91" s="133">
        <v>42767</v>
      </c>
      <c r="B91" s="3">
        <v>0.08</v>
      </c>
      <c r="C91" s="134">
        <f t="shared" si="4"/>
        <v>33</v>
      </c>
      <c r="D91" s="134">
        <f t="shared" si="4"/>
        <v>35</v>
      </c>
      <c r="E91" s="134">
        <f t="shared" si="5"/>
        <v>27</v>
      </c>
      <c r="F91" s="134">
        <v>10</v>
      </c>
      <c r="G91" s="134">
        <v>20</v>
      </c>
      <c r="H91" s="134">
        <f t="shared" si="6"/>
        <v>0</v>
      </c>
      <c r="I91" s="134">
        <f t="shared" si="7"/>
        <v>0</v>
      </c>
      <c r="J91" s="134">
        <f t="shared" si="8"/>
        <v>0</v>
      </c>
      <c r="K91" s="134">
        <f t="shared" si="9"/>
        <v>1</v>
      </c>
      <c r="L91" s="134">
        <f t="shared" si="10"/>
        <v>1</v>
      </c>
      <c r="M91" s="134">
        <f t="shared" si="11"/>
        <v>1</v>
      </c>
      <c r="N91" s="134">
        <f t="shared" si="12"/>
        <v>1</v>
      </c>
      <c r="O91" s="134">
        <f t="shared" si="13"/>
        <v>1</v>
      </c>
      <c r="P91" s="134">
        <f t="shared" si="14"/>
        <v>1</v>
      </c>
      <c r="Q91" s="134">
        <f t="shared" si="15"/>
        <v>1</v>
      </c>
    </row>
    <row r="92" spans="1:17" x14ac:dyDescent="0.2">
      <c r="A92" s="133">
        <v>42795</v>
      </c>
      <c r="B92" s="3">
        <v>0.08</v>
      </c>
      <c r="C92" s="134">
        <f t="shared" si="4"/>
        <v>33</v>
      </c>
      <c r="D92" s="134">
        <f t="shared" si="4"/>
        <v>35</v>
      </c>
      <c r="E92" s="134">
        <f t="shared" si="5"/>
        <v>27</v>
      </c>
      <c r="F92" s="134">
        <v>10</v>
      </c>
      <c r="G92" s="134">
        <v>20</v>
      </c>
      <c r="H92" s="134">
        <f t="shared" si="6"/>
        <v>0</v>
      </c>
      <c r="I92" s="134">
        <f t="shared" si="7"/>
        <v>0</v>
      </c>
      <c r="J92" s="134">
        <f t="shared" si="8"/>
        <v>0</v>
      </c>
      <c r="K92" s="134">
        <f t="shared" si="9"/>
        <v>1</v>
      </c>
      <c r="L92" s="134">
        <f t="shared" si="10"/>
        <v>1</v>
      </c>
      <c r="M92" s="134">
        <f t="shared" si="11"/>
        <v>1</v>
      </c>
      <c r="N92" s="134">
        <f t="shared" si="12"/>
        <v>1</v>
      </c>
      <c r="O92" s="134">
        <f t="shared" si="13"/>
        <v>1</v>
      </c>
      <c r="P92" s="134">
        <f t="shared" si="14"/>
        <v>1</v>
      </c>
      <c r="Q92" s="134">
        <f t="shared" si="15"/>
        <v>1</v>
      </c>
    </row>
    <row r="93" spans="1:17" x14ac:dyDescent="0.2">
      <c r="A93" s="133">
        <v>42826</v>
      </c>
      <c r="B93" s="3">
        <v>0.1</v>
      </c>
      <c r="C93" s="134">
        <f t="shared" si="4"/>
        <v>33</v>
      </c>
      <c r="D93" s="134">
        <f t="shared" si="4"/>
        <v>35</v>
      </c>
      <c r="E93" s="134">
        <f t="shared" si="5"/>
        <v>27</v>
      </c>
      <c r="F93" s="134">
        <v>10</v>
      </c>
      <c r="G93" s="134">
        <v>20</v>
      </c>
      <c r="H93" s="134">
        <f t="shared" si="6"/>
        <v>0</v>
      </c>
      <c r="I93" s="134">
        <f t="shared" si="7"/>
        <v>0</v>
      </c>
      <c r="J93" s="134">
        <f t="shared" si="8"/>
        <v>0</v>
      </c>
      <c r="K93" s="134">
        <f t="shared" si="9"/>
        <v>1</v>
      </c>
      <c r="L93" s="134">
        <f t="shared" si="10"/>
        <v>1</v>
      </c>
      <c r="M93" s="134">
        <f t="shared" si="11"/>
        <v>1</v>
      </c>
      <c r="N93" s="134">
        <f t="shared" si="12"/>
        <v>1</v>
      </c>
      <c r="O93" s="134">
        <f t="shared" si="13"/>
        <v>1</v>
      </c>
      <c r="P93" s="134">
        <f t="shared" si="14"/>
        <v>1</v>
      </c>
      <c r="Q93" s="134">
        <f t="shared" si="15"/>
        <v>1</v>
      </c>
    </row>
    <row r="94" spans="1:17" x14ac:dyDescent="0.2">
      <c r="A94" s="133">
        <v>42856</v>
      </c>
      <c r="B94" s="3">
        <v>0.1</v>
      </c>
      <c r="C94" s="134">
        <f t="shared" si="4"/>
        <v>33</v>
      </c>
      <c r="D94" s="134">
        <f t="shared" si="4"/>
        <v>35</v>
      </c>
      <c r="E94" s="134">
        <f t="shared" si="5"/>
        <v>27</v>
      </c>
      <c r="F94" s="134">
        <v>10</v>
      </c>
      <c r="G94" s="134">
        <v>20</v>
      </c>
      <c r="H94" s="134">
        <f t="shared" si="6"/>
        <v>0</v>
      </c>
      <c r="I94" s="134">
        <f t="shared" si="7"/>
        <v>0</v>
      </c>
      <c r="J94" s="134">
        <f t="shared" si="8"/>
        <v>0</v>
      </c>
      <c r="K94" s="134">
        <f t="shared" si="9"/>
        <v>1</v>
      </c>
      <c r="L94" s="134">
        <f t="shared" si="10"/>
        <v>1</v>
      </c>
      <c r="M94" s="134">
        <f t="shared" si="11"/>
        <v>1</v>
      </c>
      <c r="N94" s="134">
        <f t="shared" si="12"/>
        <v>1</v>
      </c>
      <c r="O94" s="134">
        <f t="shared" si="13"/>
        <v>1</v>
      </c>
      <c r="P94" s="134">
        <f t="shared" si="14"/>
        <v>1</v>
      </c>
      <c r="Q94" s="134">
        <f t="shared" si="15"/>
        <v>1</v>
      </c>
    </row>
    <row r="95" spans="1:17" x14ac:dyDescent="0.2">
      <c r="A95" s="133">
        <v>42887</v>
      </c>
      <c r="B95" s="3">
        <v>0.1</v>
      </c>
      <c r="C95" s="134">
        <f t="shared" si="4"/>
        <v>33</v>
      </c>
      <c r="D95" s="134">
        <f t="shared" si="4"/>
        <v>35</v>
      </c>
      <c r="E95" s="134">
        <f t="shared" si="5"/>
        <v>27</v>
      </c>
      <c r="F95" s="134">
        <v>10</v>
      </c>
      <c r="G95" s="134">
        <v>20</v>
      </c>
      <c r="H95" s="134">
        <f t="shared" si="6"/>
        <v>0</v>
      </c>
      <c r="I95" s="134">
        <f t="shared" si="7"/>
        <v>0</v>
      </c>
      <c r="J95" s="134">
        <f t="shared" si="8"/>
        <v>0</v>
      </c>
      <c r="K95" s="134">
        <f t="shared" si="9"/>
        <v>1</v>
      </c>
      <c r="L95" s="134">
        <f t="shared" si="10"/>
        <v>1</v>
      </c>
      <c r="M95" s="134">
        <f t="shared" si="11"/>
        <v>1</v>
      </c>
      <c r="N95" s="134">
        <f t="shared" si="12"/>
        <v>1</v>
      </c>
      <c r="O95" s="134">
        <f t="shared" si="13"/>
        <v>1</v>
      </c>
      <c r="P95" s="134">
        <f t="shared" si="14"/>
        <v>1</v>
      </c>
      <c r="Q95" s="134">
        <f t="shared" si="15"/>
        <v>1</v>
      </c>
    </row>
    <row r="96" spans="1:17" x14ac:dyDescent="0.2">
      <c r="A96" s="133">
        <v>42917</v>
      </c>
      <c r="B96" s="3">
        <v>0.1</v>
      </c>
      <c r="C96" s="134">
        <f t="shared" si="4"/>
        <v>33</v>
      </c>
      <c r="D96" s="134">
        <f t="shared" si="4"/>
        <v>35</v>
      </c>
      <c r="E96" s="134">
        <f t="shared" si="5"/>
        <v>27</v>
      </c>
      <c r="F96" s="134">
        <v>10</v>
      </c>
      <c r="G96" s="134">
        <v>20</v>
      </c>
      <c r="H96" s="134">
        <f t="shared" si="6"/>
        <v>0</v>
      </c>
      <c r="I96" s="134">
        <f t="shared" si="7"/>
        <v>0</v>
      </c>
      <c r="J96" s="134">
        <f t="shared" si="8"/>
        <v>0</v>
      </c>
      <c r="K96" s="134">
        <f t="shared" si="9"/>
        <v>1</v>
      </c>
      <c r="L96" s="134">
        <f t="shared" si="10"/>
        <v>1</v>
      </c>
      <c r="M96" s="134">
        <f t="shared" si="11"/>
        <v>1</v>
      </c>
      <c r="N96" s="134">
        <f t="shared" si="12"/>
        <v>1</v>
      </c>
      <c r="O96" s="134">
        <f t="shared" si="13"/>
        <v>1</v>
      </c>
      <c r="P96" s="134">
        <f t="shared" si="14"/>
        <v>1</v>
      </c>
      <c r="Q96" s="134">
        <f t="shared" si="15"/>
        <v>1</v>
      </c>
    </row>
    <row r="97" spans="1:17" x14ac:dyDescent="0.2">
      <c r="A97" s="133">
        <v>42948</v>
      </c>
      <c r="B97" s="3">
        <v>0.1</v>
      </c>
      <c r="C97" s="134">
        <f t="shared" si="4"/>
        <v>33</v>
      </c>
      <c r="D97" s="134">
        <f t="shared" si="4"/>
        <v>35</v>
      </c>
      <c r="E97" s="134">
        <f t="shared" si="5"/>
        <v>27</v>
      </c>
      <c r="F97" s="134">
        <v>10</v>
      </c>
      <c r="G97" s="134">
        <v>20</v>
      </c>
      <c r="H97" s="134">
        <f t="shared" si="6"/>
        <v>0</v>
      </c>
      <c r="I97" s="134">
        <f t="shared" si="7"/>
        <v>0</v>
      </c>
      <c r="J97" s="134">
        <f t="shared" si="8"/>
        <v>0</v>
      </c>
      <c r="K97" s="134">
        <f t="shared" si="9"/>
        <v>1</v>
      </c>
      <c r="L97" s="134">
        <f t="shared" si="10"/>
        <v>1</v>
      </c>
      <c r="M97" s="134">
        <f t="shared" si="11"/>
        <v>1</v>
      </c>
      <c r="N97" s="134">
        <f t="shared" si="12"/>
        <v>1</v>
      </c>
      <c r="O97" s="134">
        <f t="shared" si="13"/>
        <v>1</v>
      </c>
      <c r="P97" s="134">
        <f t="shared" si="14"/>
        <v>1</v>
      </c>
      <c r="Q97" s="134">
        <f t="shared" si="15"/>
        <v>1</v>
      </c>
    </row>
    <row r="98" spans="1:17" x14ac:dyDescent="0.2">
      <c r="A98" s="133">
        <v>42979</v>
      </c>
      <c r="B98" s="3">
        <v>0.1</v>
      </c>
      <c r="C98" s="134">
        <f t="shared" si="4"/>
        <v>33</v>
      </c>
      <c r="D98" s="134">
        <f t="shared" si="4"/>
        <v>35</v>
      </c>
      <c r="E98" s="134">
        <f t="shared" si="5"/>
        <v>27</v>
      </c>
      <c r="F98" s="134">
        <v>10</v>
      </c>
      <c r="G98" s="134">
        <v>20</v>
      </c>
      <c r="H98" s="134">
        <f t="shared" si="6"/>
        <v>0</v>
      </c>
      <c r="I98" s="134">
        <f t="shared" si="7"/>
        <v>0</v>
      </c>
      <c r="J98" s="134">
        <f t="shared" si="8"/>
        <v>0</v>
      </c>
      <c r="K98" s="134">
        <f t="shared" si="9"/>
        <v>1</v>
      </c>
      <c r="L98" s="134">
        <f t="shared" si="10"/>
        <v>1</v>
      </c>
      <c r="M98" s="134">
        <f t="shared" si="11"/>
        <v>1</v>
      </c>
      <c r="N98" s="134">
        <f t="shared" si="12"/>
        <v>1</v>
      </c>
      <c r="O98" s="134">
        <f t="shared" si="13"/>
        <v>1</v>
      </c>
      <c r="P98" s="134">
        <f t="shared" si="14"/>
        <v>1</v>
      </c>
      <c r="Q98" s="134">
        <f t="shared" si="15"/>
        <v>1</v>
      </c>
    </row>
    <row r="99" spans="1:17" x14ac:dyDescent="0.2">
      <c r="A99" s="133">
        <v>43009</v>
      </c>
      <c r="B99" s="3">
        <v>0.1</v>
      </c>
      <c r="C99" s="134">
        <f t="shared" si="4"/>
        <v>33</v>
      </c>
      <c r="D99" s="134">
        <f t="shared" si="4"/>
        <v>35</v>
      </c>
      <c r="E99" s="134">
        <f t="shared" si="5"/>
        <v>27</v>
      </c>
      <c r="F99" s="134">
        <v>10</v>
      </c>
      <c r="G99" s="134">
        <v>20</v>
      </c>
      <c r="H99" s="134">
        <f t="shared" si="6"/>
        <v>0</v>
      </c>
      <c r="I99" s="134">
        <f t="shared" si="7"/>
        <v>0</v>
      </c>
      <c r="J99" s="134">
        <f t="shared" si="8"/>
        <v>0</v>
      </c>
      <c r="K99" s="134">
        <f t="shared" si="9"/>
        <v>1</v>
      </c>
      <c r="L99" s="134">
        <f t="shared" si="10"/>
        <v>1</v>
      </c>
      <c r="M99" s="134">
        <f t="shared" si="11"/>
        <v>1</v>
      </c>
      <c r="N99" s="134">
        <f t="shared" si="12"/>
        <v>1</v>
      </c>
      <c r="O99" s="134">
        <f t="shared" si="13"/>
        <v>1</v>
      </c>
      <c r="P99" s="134">
        <f t="shared" si="14"/>
        <v>1</v>
      </c>
      <c r="Q99" s="134">
        <f t="shared" si="15"/>
        <v>1</v>
      </c>
    </row>
    <row r="100" spans="1:17" x14ac:dyDescent="0.2">
      <c r="A100" s="133">
        <v>43040</v>
      </c>
      <c r="B100" s="3">
        <v>0.1</v>
      </c>
      <c r="C100" s="134">
        <f t="shared" si="4"/>
        <v>33</v>
      </c>
      <c r="D100" s="134">
        <f t="shared" si="4"/>
        <v>35</v>
      </c>
      <c r="E100" s="134">
        <f t="shared" si="5"/>
        <v>27</v>
      </c>
      <c r="F100" s="134">
        <v>10</v>
      </c>
      <c r="G100" s="134">
        <v>20</v>
      </c>
      <c r="H100" s="134">
        <f t="shared" si="6"/>
        <v>0</v>
      </c>
      <c r="I100" s="134">
        <f t="shared" si="7"/>
        <v>0</v>
      </c>
      <c r="J100" s="134">
        <f t="shared" si="8"/>
        <v>0</v>
      </c>
      <c r="K100" s="134">
        <f t="shared" si="9"/>
        <v>1</v>
      </c>
      <c r="L100" s="134">
        <f t="shared" si="10"/>
        <v>1</v>
      </c>
      <c r="M100" s="134">
        <f t="shared" si="11"/>
        <v>1</v>
      </c>
      <c r="N100" s="134">
        <f t="shared" si="12"/>
        <v>1</v>
      </c>
      <c r="O100" s="134">
        <f t="shared" si="13"/>
        <v>1</v>
      </c>
      <c r="P100" s="134">
        <f t="shared" si="14"/>
        <v>1</v>
      </c>
      <c r="Q100" s="134">
        <f t="shared" si="15"/>
        <v>1</v>
      </c>
    </row>
    <row r="101" spans="1:17" x14ac:dyDescent="0.2">
      <c r="A101" s="133">
        <v>43070</v>
      </c>
      <c r="B101" s="3">
        <v>0.1</v>
      </c>
      <c r="C101" s="134">
        <f t="shared" si="4"/>
        <v>33</v>
      </c>
      <c r="D101" s="134">
        <f t="shared" si="4"/>
        <v>35</v>
      </c>
      <c r="E101" s="134">
        <f t="shared" si="5"/>
        <v>27</v>
      </c>
      <c r="F101" s="134">
        <v>10</v>
      </c>
      <c r="G101" s="134">
        <v>20</v>
      </c>
      <c r="H101" s="134">
        <f t="shared" si="6"/>
        <v>0</v>
      </c>
      <c r="I101" s="134">
        <f t="shared" si="7"/>
        <v>0</v>
      </c>
      <c r="J101" s="134">
        <f t="shared" si="8"/>
        <v>0</v>
      </c>
      <c r="K101" s="134">
        <f t="shared" si="9"/>
        <v>1</v>
      </c>
      <c r="L101" s="134">
        <f t="shared" si="10"/>
        <v>1</v>
      </c>
      <c r="M101" s="134">
        <f t="shared" si="11"/>
        <v>1</v>
      </c>
      <c r="N101" s="134">
        <f t="shared" si="12"/>
        <v>1</v>
      </c>
      <c r="O101" s="134">
        <f t="shared" si="13"/>
        <v>1</v>
      </c>
      <c r="P101" s="134">
        <f t="shared" si="14"/>
        <v>1</v>
      </c>
      <c r="Q101" s="134">
        <f t="shared" si="15"/>
        <v>1</v>
      </c>
    </row>
    <row r="102" spans="1:17" x14ac:dyDescent="0.2">
      <c r="A102" s="133">
        <v>43101</v>
      </c>
      <c r="B102" s="3">
        <v>0.1</v>
      </c>
      <c r="C102" s="134">
        <f t="shared" si="4"/>
        <v>33</v>
      </c>
      <c r="D102" s="134">
        <f t="shared" si="4"/>
        <v>35</v>
      </c>
      <c r="E102" s="134">
        <f t="shared" si="5"/>
        <v>27</v>
      </c>
      <c r="F102" s="134">
        <v>10</v>
      </c>
      <c r="G102" s="134">
        <v>20</v>
      </c>
      <c r="H102" s="134">
        <f t="shared" si="6"/>
        <v>0</v>
      </c>
      <c r="I102" s="134">
        <f t="shared" si="7"/>
        <v>0</v>
      </c>
      <c r="J102" s="134">
        <f t="shared" si="8"/>
        <v>0</v>
      </c>
      <c r="K102" s="134">
        <f t="shared" si="9"/>
        <v>1</v>
      </c>
      <c r="L102" s="134">
        <f t="shared" si="10"/>
        <v>1</v>
      </c>
      <c r="M102" s="134">
        <f t="shared" si="11"/>
        <v>1</v>
      </c>
      <c r="N102" s="134">
        <f t="shared" si="12"/>
        <v>1</v>
      </c>
      <c r="O102" s="134">
        <f t="shared" si="13"/>
        <v>1</v>
      </c>
      <c r="P102" s="134">
        <f t="shared" si="14"/>
        <v>1</v>
      </c>
      <c r="Q102" s="134">
        <f t="shared" si="15"/>
        <v>1</v>
      </c>
    </row>
    <row r="103" spans="1:17" x14ac:dyDescent="0.2">
      <c r="A103" s="133">
        <v>43132</v>
      </c>
      <c r="B103" s="3">
        <v>0.1</v>
      </c>
      <c r="C103" s="134">
        <f t="shared" si="4"/>
        <v>33</v>
      </c>
      <c r="D103" s="134">
        <f t="shared" si="4"/>
        <v>35</v>
      </c>
      <c r="E103" s="134">
        <f t="shared" si="5"/>
        <v>27</v>
      </c>
      <c r="F103" s="134">
        <v>10</v>
      </c>
      <c r="G103" s="134">
        <v>20</v>
      </c>
      <c r="H103" s="134">
        <f t="shared" si="6"/>
        <v>0</v>
      </c>
      <c r="I103" s="134">
        <f t="shared" si="7"/>
        <v>0</v>
      </c>
      <c r="J103" s="134">
        <f t="shared" si="8"/>
        <v>0</v>
      </c>
      <c r="K103" s="134">
        <f t="shared" si="9"/>
        <v>1</v>
      </c>
      <c r="L103" s="134">
        <f t="shared" si="10"/>
        <v>1</v>
      </c>
      <c r="M103" s="134">
        <f t="shared" si="11"/>
        <v>1</v>
      </c>
      <c r="N103" s="134">
        <f t="shared" si="12"/>
        <v>1</v>
      </c>
      <c r="O103" s="134">
        <f t="shared" si="13"/>
        <v>1</v>
      </c>
      <c r="P103" s="134">
        <f t="shared" si="14"/>
        <v>1</v>
      </c>
      <c r="Q103" s="134">
        <f t="shared" si="15"/>
        <v>1</v>
      </c>
    </row>
    <row r="104" spans="1:17" x14ac:dyDescent="0.2">
      <c r="A104" s="133">
        <v>43160</v>
      </c>
      <c r="B104" s="3">
        <v>0.1</v>
      </c>
      <c r="C104" s="134">
        <f t="shared" si="4"/>
        <v>33</v>
      </c>
      <c r="D104" s="134">
        <f t="shared" si="4"/>
        <v>35</v>
      </c>
      <c r="E104" s="134">
        <f t="shared" si="5"/>
        <v>27</v>
      </c>
      <c r="F104" s="134">
        <v>10</v>
      </c>
      <c r="G104" s="134">
        <v>20</v>
      </c>
      <c r="H104" s="134">
        <f t="shared" si="6"/>
        <v>0</v>
      </c>
      <c r="I104" s="134">
        <f t="shared" si="7"/>
        <v>0</v>
      </c>
      <c r="J104" s="134">
        <f t="shared" si="8"/>
        <v>0</v>
      </c>
      <c r="K104" s="134">
        <f t="shared" si="9"/>
        <v>1</v>
      </c>
      <c r="L104" s="134">
        <f t="shared" si="10"/>
        <v>1</v>
      </c>
      <c r="M104" s="134">
        <f t="shared" si="11"/>
        <v>1</v>
      </c>
      <c r="N104" s="134">
        <f t="shared" si="12"/>
        <v>1</v>
      </c>
      <c r="O104" s="134">
        <f t="shared" si="13"/>
        <v>1</v>
      </c>
      <c r="P104" s="134">
        <f t="shared" si="14"/>
        <v>1</v>
      </c>
      <c r="Q104" s="134">
        <f t="shared" si="15"/>
        <v>1</v>
      </c>
    </row>
    <row r="105" spans="1:17" x14ac:dyDescent="0.2">
      <c r="A105" s="133">
        <v>43191</v>
      </c>
      <c r="B105" s="3">
        <v>0.1</v>
      </c>
      <c r="C105" s="134">
        <f t="shared" si="4"/>
        <v>33</v>
      </c>
      <c r="D105" s="134">
        <f t="shared" si="4"/>
        <v>35</v>
      </c>
      <c r="E105" s="134">
        <f t="shared" si="5"/>
        <v>27</v>
      </c>
      <c r="F105" s="134">
        <v>10</v>
      </c>
      <c r="G105" s="134">
        <v>20</v>
      </c>
      <c r="H105" s="134">
        <f t="shared" si="6"/>
        <v>0</v>
      </c>
      <c r="I105" s="134">
        <f t="shared" si="7"/>
        <v>0</v>
      </c>
      <c r="J105" s="134">
        <f t="shared" si="8"/>
        <v>0</v>
      </c>
      <c r="K105" s="134">
        <f t="shared" si="9"/>
        <v>1</v>
      </c>
      <c r="L105" s="134">
        <f t="shared" si="10"/>
        <v>1</v>
      </c>
      <c r="M105" s="134">
        <f t="shared" si="11"/>
        <v>1</v>
      </c>
      <c r="N105" s="134">
        <f t="shared" si="12"/>
        <v>1</v>
      </c>
      <c r="O105" s="134">
        <f t="shared" si="13"/>
        <v>1</v>
      </c>
      <c r="P105" s="134">
        <f t="shared" si="14"/>
        <v>1</v>
      </c>
      <c r="Q105" s="134">
        <f t="shared" si="15"/>
        <v>1</v>
      </c>
    </row>
    <row r="106" spans="1:17" x14ac:dyDescent="0.2">
      <c r="A106" s="133">
        <v>43221</v>
      </c>
      <c r="B106" s="3">
        <v>0.1</v>
      </c>
      <c r="C106" s="134">
        <f t="shared" si="4"/>
        <v>33</v>
      </c>
      <c r="D106" s="134">
        <f t="shared" si="4"/>
        <v>35</v>
      </c>
      <c r="E106" s="134">
        <f t="shared" si="5"/>
        <v>27</v>
      </c>
      <c r="F106" s="134">
        <v>10</v>
      </c>
      <c r="G106" s="134">
        <v>20</v>
      </c>
      <c r="H106" s="134">
        <f t="shared" si="6"/>
        <v>0</v>
      </c>
      <c r="I106" s="134">
        <f t="shared" si="7"/>
        <v>0</v>
      </c>
      <c r="J106" s="134">
        <f t="shared" si="8"/>
        <v>0</v>
      </c>
      <c r="K106" s="134">
        <f t="shared" si="9"/>
        <v>1</v>
      </c>
      <c r="L106" s="134">
        <f t="shared" si="10"/>
        <v>1</v>
      </c>
      <c r="M106" s="134">
        <f t="shared" si="11"/>
        <v>1</v>
      </c>
      <c r="N106" s="134">
        <f t="shared" si="12"/>
        <v>1</v>
      </c>
      <c r="O106" s="134">
        <f t="shared" si="13"/>
        <v>1</v>
      </c>
      <c r="P106" s="134">
        <f t="shared" si="14"/>
        <v>1</v>
      </c>
      <c r="Q106" s="134">
        <f t="shared" si="15"/>
        <v>1</v>
      </c>
    </row>
    <row r="107" spans="1:17" x14ac:dyDescent="0.2">
      <c r="A107" s="133">
        <v>43252</v>
      </c>
      <c r="B107" s="3">
        <v>0.1</v>
      </c>
      <c r="C107" s="134">
        <f t="shared" si="4"/>
        <v>33</v>
      </c>
      <c r="D107" s="134">
        <f t="shared" si="4"/>
        <v>35</v>
      </c>
      <c r="E107" s="134">
        <f t="shared" si="5"/>
        <v>27</v>
      </c>
      <c r="F107" s="134">
        <v>10</v>
      </c>
      <c r="G107" s="134">
        <v>20</v>
      </c>
      <c r="H107" s="134">
        <f t="shared" si="6"/>
        <v>0</v>
      </c>
      <c r="I107" s="134">
        <f t="shared" si="7"/>
        <v>0</v>
      </c>
      <c r="J107" s="134">
        <f t="shared" si="8"/>
        <v>0</v>
      </c>
      <c r="K107" s="134">
        <f t="shared" si="9"/>
        <v>1</v>
      </c>
      <c r="L107" s="134">
        <f t="shared" si="10"/>
        <v>1</v>
      </c>
      <c r="M107" s="134">
        <f t="shared" si="11"/>
        <v>1</v>
      </c>
      <c r="N107" s="134">
        <f t="shared" si="12"/>
        <v>1</v>
      </c>
      <c r="O107" s="134">
        <f t="shared" si="13"/>
        <v>1</v>
      </c>
      <c r="P107" s="134">
        <f t="shared" si="14"/>
        <v>1</v>
      </c>
      <c r="Q107" s="134">
        <f t="shared" si="15"/>
        <v>1</v>
      </c>
    </row>
    <row r="108" spans="1:17" x14ac:dyDescent="0.2">
      <c r="A108" s="133">
        <v>43282</v>
      </c>
      <c r="B108" s="3">
        <v>0.1</v>
      </c>
      <c r="C108" s="134">
        <f t="shared" si="4"/>
        <v>33</v>
      </c>
      <c r="D108" s="134">
        <f t="shared" si="4"/>
        <v>35</v>
      </c>
      <c r="E108" s="134">
        <f t="shared" si="5"/>
        <v>27</v>
      </c>
      <c r="F108" s="134">
        <v>10</v>
      </c>
      <c r="G108" s="134">
        <v>20</v>
      </c>
      <c r="H108" s="134">
        <f t="shared" si="6"/>
        <v>0</v>
      </c>
      <c r="I108" s="134">
        <f t="shared" si="7"/>
        <v>0</v>
      </c>
      <c r="J108" s="134">
        <f t="shared" si="8"/>
        <v>0</v>
      </c>
      <c r="K108" s="134">
        <f t="shared" si="9"/>
        <v>1</v>
      </c>
      <c r="L108" s="134">
        <f t="shared" si="10"/>
        <v>1</v>
      </c>
      <c r="M108" s="134">
        <f t="shared" si="11"/>
        <v>1</v>
      </c>
      <c r="N108" s="134">
        <f t="shared" si="12"/>
        <v>1</v>
      </c>
      <c r="O108" s="134">
        <f t="shared" si="13"/>
        <v>1</v>
      </c>
      <c r="P108" s="134">
        <f t="shared" si="14"/>
        <v>1</v>
      </c>
      <c r="Q108" s="134">
        <f t="shared" si="15"/>
        <v>1</v>
      </c>
    </row>
    <row r="109" spans="1:17" x14ac:dyDescent="0.2">
      <c r="A109" s="133">
        <v>43313</v>
      </c>
      <c r="B109" s="3">
        <v>0.1</v>
      </c>
      <c r="C109" s="134">
        <f t="shared" si="4"/>
        <v>33</v>
      </c>
      <c r="D109" s="134">
        <f t="shared" si="4"/>
        <v>35</v>
      </c>
      <c r="E109" s="134">
        <f t="shared" si="5"/>
        <v>27</v>
      </c>
      <c r="F109" s="134">
        <v>10</v>
      </c>
      <c r="G109" s="134">
        <v>20</v>
      </c>
      <c r="H109" s="134">
        <f t="shared" si="6"/>
        <v>0</v>
      </c>
      <c r="I109" s="134">
        <f t="shared" si="7"/>
        <v>0</v>
      </c>
      <c r="J109" s="134">
        <f t="shared" si="8"/>
        <v>0</v>
      </c>
      <c r="K109" s="134">
        <f t="shared" si="9"/>
        <v>1</v>
      </c>
      <c r="L109" s="134">
        <f t="shared" si="10"/>
        <v>1</v>
      </c>
      <c r="M109" s="134">
        <f t="shared" si="11"/>
        <v>1</v>
      </c>
      <c r="N109" s="134">
        <f t="shared" si="12"/>
        <v>1</v>
      </c>
      <c r="O109" s="134">
        <f t="shared" si="13"/>
        <v>1</v>
      </c>
      <c r="P109" s="134">
        <f t="shared" si="14"/>
        <v>1</v>
      </c>
      <c r="Q109" s="134">
        <f t="shared" si="15"/>
        <v>1</v>
      </c>
    </row>
    <row r="110" spans="1:17" x14ac:dyDescent="0.2">
      <c r="A110" s="133">
        <v>43344</v>
      </c>
      <c r="B110" s="3">
        <v>0.1</v>
      </c>
      <c r="C110" s="134">
        <f t="shared" si="4"/>
        <v>33</v>
      </c>
      <c r="D110" s="134">
        <f t="shared" si="4"/>
        <v>35</v>
      </c>
      <c r="E110" s="134">
        <f t="shared" si="5"/>
        <v>27</v>
      </c>
      <c r="F110" s="134">
        <v>10</v>
      </c>
      <c r="G110" s="134">
        <v>20</v>
      </c>
      <c r="H110" s="134">
        <f t="shared" si="6"/>
        <v>0</v>
      </c>
      <c r="I110" s="134">
        <f t="shared" si="7"/>
        <v>0</v>
      </c>
      <c r="J110" s="134">
        <f t="shared" si="8"/>
        <v>0</v>
      </c>
      <c r="K110" s="134">
        <f t="shared" si="9"/>
        <v>1</v>
      </c>
      <c r="L110" s="134">
        <f t="shared" si="10"/>
        <v>1</v>
      </c>
      <c r="M110" s="134">
        <f t="shared" si="11"/>
        <v>1</v>
      </c>
      <c r="N110" s="134">
        <f t="shared" si="12"/>
        <v>1</v>
      </c>
      <c r="O110" s="134">
        <f t="shared" si="13"/>
        <v>1</v>
      </c>
      <c r="P110" s="134">
        <f t="shared" si="14"/>
        <v>1</v>
      </c>
      <c r="Q110" s="134">
        <f t="shared" si="15"/>
        <v>1</v>
      </c>
    </row>
    <row r="111" spans="1:17" x14ac:dyDescent="0.2">
      <c r="A111" s="133">
        <v>43374</v>
      </c>
      <c r="B111" s="3">
        <v>0.1</v>
      </c>
      <c r="C111" s="134">
        <f t="shared" si="4"/>
        <v>33</v>
      </c>
      <c r="D111" s="134">
        <f t="shared" si="4"/>
        <v>35</v>
      </c>
      <c r="E111" s="134">
        <f t="shared" si="5"/>
        <v>27</v>
      </c>
      <c r="F111" s="134">
        <v>10</v>
      </c>
      <c r="G111" s="134">
        <v>20</v>
      </c>
      <c r="H111" s="134">
        <f t="shared" si="6"/>
        <v>0</v>
      </c>
      <c r="I111" s="134">
        <f t="shared" si="7"/>
        <v>0</v>
      </c>
      <c r="J111" s="134">
        <f t="shared" si="8"/>
        <v>0</v>
      </c>
      <c r="K111" s="134">
        <f t="shared" si="9"/>
        <v>1</v>
      </c>
      <c r="L111" s="134">
        <f t="shared" si="10"/>
        <v>1</v>
      </c>
      <c r="M111" s="134">
        <f t="shared" si="11"/>
        <v>1</v>
      </c>
      <c r="N111" s="134">
        <f t="shared" si="12"/>
        <v>1</v>
      </c>
      <c r="O111" s="134">
        <f t="shared" si="13"/>
        <v>1</v>
      </c>
      <c r="P111" s="134">
        <f t="shared" si="14"/>
        <v>1</v>
      </c>
      <c r="Q111" s="134">
        <f t="shared" si="15"/>
        <v>1</v>
      </c>
    </row>
    <row r="112" spans="1:17" x14ac:dyDescent="0.2">
      <c r="A112" s="133">
        <v>43405</v>
      </c>
      <c r="B112" s="3">
        <v>0.1</v>
      </c>
      <c r="C112" s="134">
        <f t="shared" si="4"/>
        <v>33</v>
      </c>
      <c r="D112" s="134">
        <f t="shared" si="4"/>
        <v>35</v>
      </c>
      <c r="E112" s="134">
        <f t="shared" si="5"/>
        <v>27</v>
      </c>
      <c r="F112" s="134">
        <v>10</v>
      </c>
      <c r="G112" s="134">
        <v>20</v>
      </c>
      <c r="H112" s="134">
        <f t="shared" si="6"/>
        <v>0</v>
      </c>
      <c r="I112" s="134">
        <f t="shared" si="7"/>
        <v>0</v>
      </c>
      <c r="J112" s="134">
        <f t="shared" si="8"/>
        <v>0</v>
      </c>
      <c r="K112" s="134">
        <f t="shared" si="9"/>
        <v>1</v>
      </c>
      <c r="L112" s="134">
        <f t="shared" si="10"/>
        <v>1</v>
      </c>
      <c r="M112" s="134">
        <f t="shared" si="11"/>
        <v>1</v>
      </c>
      <c r="N112" s="134">
        <f t="shared" si="12"/>
        <v>1</v>
      </c>
      <c r="O112" s="134">
        <f t="shared" si="13"/>
        <v>1</v>
      </c>
      <c r="P112" s="134">
        <f t="shared" si="14"/>
        <v>1</v>
      </c>
      <c r="Q112" s="134">
        <f t="shared" si="15"/>
        <v>1</v>
      </c>
    </row>
    <row r="113" spans="1:17" x14ac:dyDescent="0.2">
      <c r="A113" s="133">
        <v>43435</v>
      </c>
      <c r="B113" s="3">
        <v>0.1</v>
      </c>
      <c r="C113" s="134">
        <f t="shared" si="4"/>
        <v>33</v>
      </c>
      <c r="D113" s="134">
        <f t="shared" si="4"/>
        <v>35</v>
      </c>
      <c r="E113" s="134">
        <f t="shared" si="5"/>
        <v>27</v>
      </c>
      <c r="F113" s="134">
        <v>10</v>
      </c>
      <c r="G113" s="134">
        <v>20</v>
      </c>
      <c r="H113" s="134">
        <f t="shared" si="6"/>
        <v>0</v>
      </c>
      <c r="I113" s="134">
        <f t="shared" si="7"/>
        <v>0</v>
      </c>
      <c r="J113" s="134">
        <f t="shared" si="8"/>
        <v>0</v>
      </c>
      <c r="K113" s="134">
        <f t="shared" si="9"/>
        <v>1</v>
      </c>
      <c r="L113" s="134">
        <f t="shared" si="10"/>
        <v>1</v>
      </c>
      <c r="M113" s="134">
        <f t="shared" si="11"/>
        <v>1</v>
      </c>
      <c r="N113" s="134">
        <f t="shared" si="12"/>
        <v>1</v>
      </c>
      <c r="O113" s="134">
        <f t="shared" si="13"/>
        <v>1</v>
      </c>
      <c r="P113" s="134">
        <f t="shared" si="14"/>
        <v>1</v>
      </c>
      <c r="Q113" s="134">
        <f t="shared" si="15"/>
        <v>1</v>
      </c>
    </row>
    <row r="114" spans="1:17" x14ac:dyDescent="0.2">
      <c r="A114" s="133">
        <v>43466</v>
      </c>
      <c r="B114" s="3">
        <v>0.1</v>
      </c>
      <c r="C114" s="134">
        <f t="shared" si="4"/>
        <v>33</v>
      </c>
      <c r="D114" s="134">
        <f t="shared" si="4"/>
        <v>35</v>
      </c>
      <c r="E114" s="134">
        <f t="shared" si="5"/>
        <v>27</v>
      </c>
      <c r="F114" s="134">
        <v>10</v>
      </c>
      <c r="G114" s="134">
        <v>20</v>
      </c>
      <c r="H114" s="134">
        <f t="shared" si="6"/>
        <v>0</v>
      </c>
      <c r="I114" s="134">
        <f t="shared" si="7"/>
        <v>0</v>
      </c>
      <c r="J114" s="134">
        <f t="shared" si="8"/>
        <v>0</v>
      </c>
      <c r="K114" s="134">
        <f t="shared" si="9"/>
        <v>1</v>
      </c>
      <c r="L114" s="134">
        <f t="shared" si="10"/>
        <v>1</v>
      </c>
      <c r="M114" s="134">
        <f t="shared" si="11"/>
        <v>1</v>
      </c>
      <c r="N114" s="134">
        <f t="shared" si="12"/>
        <v>1</v>
      </c>
      <c r="O114" s="134">
        <f t="shared" si="13"/>
        <v>1</v>
      </c>
      <c r="P114" s="134">
        <f t="shared" si="14"/>
        <v>1</v>
      </c>
      <c r="Q114" s="134">
        <f t="shared" si="15"/>
        <v>1</v>
      </c>
    </row>
    <row r="115" spans="1:17" x14ac:dyDescent="0.2">
      <c r="A115" s="133">
        <v>43497</v>
      </c>
      <c r="B115" s="3">
        <v>0.1</v>
      </c>
      <c r="C115" s="134">
        <f t="shared" si="4"/>
        <v>33</v>
      </c>
      <c r="D115" s="134">
        <f t="shared" si="4"/>
        <v>35</v>
      </c>
      <c r="E115" s="134">
        <f t="shared" si="5"/>
        <v>27</v>
      </c>
      <c r="F115" s="134">
        <v>10</v>
      </c>
      <c r="G115" s="134">
        <v>20</v>
      </c>
      <c r="H115" s="134">
        <f t="shared" si="6"/>
        <v>0</v>
      </c>
      <c r="I115" s="134">
        <f t="shared" si="7"/>
        <v>0</v>
      </c>
      <c r="J115" s="134">
        <f t="shared" si="8"/>
        <v>0</v>
      </c>
      <c r="K115" s="134">
        <f t="shared" si="9"/>
        <v>1</v>
      </c>
      <c r="L115" s="134">
        <f t="shared" si="10"/>
        <v>1</v>
      </c>
      <c r="M115" s="134">
        <f t="shared" si="11"/>
        <v>1</v>
      </c>
      <c r="N115" s="134">
        <f t="shared" si="12"/>
        <v>1</v>
      </c>
      <c r="O115" s="134">
        <f t="shared" si="13"/>
        <v>1</v>
      </c>
      <c r="P115" s="134">
        <f t="shared" si="14"/>
        <v>1</v>
      </c>
      <c r="Q115" s="134">
        <f t="shared" si="15"/>
        <v>1</v>
      </c>
    </row>
    <row r="116" spans="1:17" x14ac:dyDescent="0.2">
      <c r="A116" s="133">
        <v>43525</v>
      </c>
      <c r="B116" s="3">
        <v>0.1</v>
      </c>
      <c r="C116" s="134">
        <f t="shared" si="4"/>
        <v>33</v>
      </c>
      <c r="D116" s="134">
        <f t="shared" si="4"/>
        <v>35</v>
      </c>
      <c r="E116" s="134">
        <f t="shared" si="5"/>
        <v>27</v>
      </c>
      <c r="F116" s="134">
        <v>10</v>
      </c>
      <c r="G116" s="134">
        <v>20</v>
      </c>
      <c r="H116" s="134">
        <f t="shared" si="6"/>
        <v>0</v>
      </c>
      <c r="I116" s="134">
        <f t="shared" si="7"/>
        <v>0</v>
      </c>
      <c r="J116" s="134">
        <f t="shared" si="8"/>
        <v>0</v>
      </c>
      <c r="K116" s="134">
        <f t="shared" si="9"/>
        <v>1</v>
      </c>
      <c r="L116" s="134">
        <f t="shared" si="10"/>
        <v>1</v>
      </c>
      <c r="M116" s="134">
        <f t="shared" si="11"/>
        <v>1</v>
      </c>
      <c r="N116" s="134">
        <f t="shared" si="12"/>
        <v>1</v>
      </c>
      <c r="O116" s="134">
        <f t="shared" si="13"/>
        <v>1</v>
      </c>
      <c r="P116" s="134">
        <f t="shared" si="14"/>
        <v>1</v>
      </c>
      <c r="Q116" s="134">
        <f t="shared" si="15"/>
        <v>1</v>
      </c>
    </row>
    <row r="117" spans="1:17" x14ac:dyDescent="0.2">
      <c r="A117" s="133">
        <v>43556</v>
      </c>
      <c r="B117" s="3">
        <v>0.1</v>
      </c>
      <c r="C117" s="134">
        <f t="shared" si="4"/>
        <v>33</v>
      </c>
      <c r="D117" s="134">
        <f t="shared" si="4"/>
        <v>35</v>
      </c>
      <c r="E117" s="134">
        <f t="shared" si="5"/>
        <v>27</v>
      </c>
      <c r="F117" s="134">
        <v>10</v>
      </c>
      <c r="G117" s="134">
        <v>20</v>
      </c>
      <c r="H117" s="134">
        <f t="shared" si="6"/>
        <v>0</v>
      </c>
      <c r="I117" s="134">
        <f t="shared" si="7"/>
        <v>0</v>
      </c>
      <c r="J117" s="134">
        <f t="shared" si="8"/>
        <v>0</v>
      </c>
      <c r="K117" s="134">
        <f t="shared" si="9"/>
        <v>1</v>
      </c>
      <c r="L117" s="134">
        <f t="shared" si="10"/>
        <v>1</v>
      </c>
      <c r="M117" s="134">
        <f t="shared" si="11"/>
        <v>1</v>
      </c>
      <c r="N117" s="134">
        <f t="shared" si="12"/>
        <v>1</v>
      </c>
      <c r="O117" s="134">
        <f t="shared" si="13"/>
        <v>1</v>
      </c>
      <c r="P117" s="134">
        <f t="shared" si="14"/>
        <v>1</v>
      </c>
      <c r="Q117" s="134">
        <f t="shared" si="15"/>
        <v>1</v>
      </c>
    </row>
    <row r="118" spans="1:17" x14ac:dyDescent="0.2">
      <c r="A118" s="133">
        <v>43586</v>
      </c>
      <c r="B118" s="3">
        <v>0.1</v>
      </c>
      <c r="C118" s="134">
        <f t="shared" si="4"/>
        <v>33</v>
      </c>
      <c r="D118" s="134">
        <f t="shared" si="4"/>
        <v>35</v>
      </c>
      <c r="E118" s="134">
        <f t="shared" si="5"/>
        <v>27</v>
      </c>
      <c r="F118" s="134">
        <v>10</v>
      </c>
      <c r="G118" s="134">
        <v>20</v>
      </c>
      <c r="H118" s="134">
        <f t="shared" si="6"/>
        <v>0</v>
      </c>
      <c r="I118" s="134">
        <f t="shared" si="7"/>
        <v>0</v>
      </c>
      <c r="J118" s="134">
        <f t="shared" si="8"/>
        <v>0</v>
      </c>
      <c r="K118" s="134">
        <f t="shared" si="9"/>
        <v>1</v>
      </c>
      <c r="L118" s="134">
        <f t="shared" si="10"/>
        <v>1</v>
      </c>
      <c r="M118" s="134">
        <f t="shared" si="11"/>
        <v>1</v>
      </c>
      <c r="N118" s="134">
        <f t="shared" si="12"/>
        <v>1</v>
      </c>
      <c r="O118" s="134">
        <f t="shared" si="13"/>
        <v>1</v>
      </c>
      <c r="P118" s="134">
        <f t="shared" si="14"/>
        <v>1</v>
      </c>
      <c r="Q118" s="134">
        <f t="shared" si="15"/>
        <v>1</v>
      </c>
    </row>
    <row r="119" spans="1:17" x14ac:dyDescent="0.2">
      <c r="A119" s="133">
        <v>43617</v>
      </c>
      <c r="B119" s="3">
        <v>0.1</v>
      </c>
      <c r="C119" s="134">
        <f t="shared" si="4"/>
        <v>33</v>
      </c>
      <c r="D119" s="134">
        <f t="shared" si="4"/>
        <v>35</v>
      </c>
      <c r="E119" s="134">
        <f t="shared" si="5"/>
        <v>27</v>
      </c>
      <c r="F119" s="134">
        <v>10</v>
      </c>
      <c r="G119" s="134">
        <v>20</v>
      </c>
      <c r="H119" s="134">
        <f t="shared" si="6"/>
        <v>0</v>
      </c>
      <c r="I119" s="134">
        <f t="shared" si="7"/>
        <v>0</v>
      </c>
      <c r="J119" s="134">
        <f t="shared" si="8"/>
        <v>0</v>
      </c>
      <c r="K119" s="134">
        <f t="shared" si="9"/>
        <v>1</v>
      </c>
      <c r="L119" s="134">
        <f t="shared" si="10"/>
        <v>1</v>
      </c>
      <c r="M119" s="134">
        <f t="shared" si="11"/>
        <v>1</v>
      </c>
      <c r="N119" s="134">
        <f t="shared" si="12"/>
        <v>1</v>
      </c>
      <c r="O119" s="134">
        <f t="shared" si="13"/>
        <v>1</v>
      </c>
      <c r="P119" s="134">
        <f t="shared" si="14"/>
        <v>1</v>
      </c>
      <c r="Q119" s="134">
        <f t="shared" si="15"/>
        <v>1</v>
      </c>
    </row>
    <row r="120" spans="1:17" x14ac:dyDescent="0.2">
      <c r="A120" s="133">
        <v>43647</v>
      </c>
      <c r="B120" s="3">
        <v>0.1</v>
      </c>
      <c r="C120" s="134">
        <f t="shared" si="4"/>
        <v>33</v>
      </c>
      <c r="D120" s="134">
        <f t="shared" si="4"/>
        <v>35</v>
      </c>
      <c r="E120" s="134">
        <f t="shared" si="5"/>
        <v>27</v>
      </c>
      <c r="F120" s="134">
        <v>10</v>
      </c>
      <c r="G120" s="134">
        <v>20</v>
      </c>
      <c r="H120" s="134">
        <f t="shared" si="6"/>
        <v>0</v>
      </c>
      <c r="I120" s="134">
        <f t="shared" si="7"/>
        <v>0</v>
      </c>
      <c r="J120" s="134">
        <f t="shared" si="8"/>
        <v>0</v>
      </c>
      <c r="K120" s="134">
        <f t="shared" si="9"/>
        <v>1</v>
      </c>
      <c r="L120" s="134">
        <f t="shared" si="10"/>
        <v>1</v>
      </c>
      <c r="M120" s="134">
        <f t="shared" si="11"/>
        <v>1</v>
      </c>
      <c r="N120" s="134">
        <f t="shared" si="12"/>
        <v>1</v>
      </c>
      <c r="O120" s="134">
        <f t="shared" si="13"/>
        <v>1</v>
      </c>
      <c r="P120" s="134">
        <f t="shared" si="14"/>
        <v>1</v>
      </c>
      <c r="Q120" s="134">
        <f t="shared" si="15"/>
        <v>1</v>
      </c>
    </row>
    <row r="121" spans="1:17" x14ac:dyDescent="0.2">
      <c r="A121" s="133">
        <v>43678</v>
      </c>
      <c r="B121" s="3">
        <v>0.1</v>
      </c>
      <c r="C121" s="134">
        <f t="shared" si="4"/>
        <v>33</v>
      </c>
      <c r="D121" s="134">
        <f t="shared" si="4"/>
        <v>35</v>
      </c>
      <c r="E121" s="134">
        <f t="shared" si="5"/>
        <v>27</v>
      </c>
      <c r="F121" s="134">
        <v>10</v>
      </c>
      <c r="G121" s="134">
        <v>20</v>
      </c>
      <c r="H121" s="134">
        <f t="shared" si="6"/>
        <v>0</v>
      </c>
      <c r="I121" s="134">
        <f t="shared" si="7"/>
        <v>0</v>
      </c>
      <c r="J121" s="134">
        <f t="shared" si="8"/>
        <v>0</v>
      </c>
      <c r="K121" s="134">
        <f t="shared" si="9"/>
        <v>1</v>
      </c>
      <c r="L121" s="134">
        <f t="shared" si="10"/>
        <v>1</v>
      </c>
      <c r="M121" s="134">
        <f t="shared" si="11"/>
        <v>1</v>
      </c>
      <c r="N121" s="134">
        <f t="shared" si="12"/>
        <v>1</v>
      </c>
      <c r="O121" s="134">
        <f t="shared" si="13"/>
        <v>1</v>
      </c>
      <c r="P121" s="134">
        <f t="shared" si="14"/>
        <v>1</v>
      </c>
      <c r="Q121" s="134">
        <f t="shared" si="15"/>
        <v>1</v>
      </c>
    </row>
    <row r="122" spans="1:17" x14ac:dyDescent="0.2">
      <c r="A122" s="133">
        <v>43709</v>
      </c>
      <c r="B122" s="3">
        <v>0.1</v>
      </c>
      <c r="C122" s="134">
        <f t="shared" si="4"/>
        <v>33</v>
      </c>
      <c r="D122" s="134">
        <f t="shared" si="4"/>
        <v>35</v>
      </c>
      <c r="E122" s="134">
        <f t="shared" si="5"/>
        <v>27</v>
      </c>
      <c r="F122" s="134">
        <v>10</v>
      </c>
      <c r="G122" s="134">
        <v>20</v>
      </c>
      <c r="H122" s="134">
        <f t="shared" si="6"/>
        <v>0</v>
      </c>
      <c r="I122" s="134">
        <f t="shared" si="7"/>
        <v>0</v>
      </c>
      <c r="J122" s="134">
        <f t="shared" si="8"/>
        <v>0</v>
      </c>
      <c r="K122" s="134">
        <f t="shared" si="9"/>
        <v>1</v>
      </c>
      <c r="L122" s="134">
        <f t="shared" si="10"/>
        <v>1</v>
      </c>
      <c r="M122" s="134">
        <f t="shared" si="11"/>
        <v>1</v>
      </c>
      <c r="N122" s="134">
        <f t="shared" si="12"/>
        <v>1</v>
      </c>
      <c r="O122" s="134">
        <f t="shared" si="13"/>
        <v>1</v>
      </c>
      <c r="P122" s="134">
        <f t="shared" si="14"/>
        <v>1</v>
      </c>
      <c r="Q122" s="134">
        <f t="shared" si="15"/>
        <v>1</v>
      </c>
    </row>
    <row r="123" spans="1:17" x14ac:dyDescent="0.2">
      <c r="A123" s="133">
        <v>43739</v>
      </c>
      <c r="B123" s="3">
        <v>0.1</v>
      </c>
      <c r="C123" s="134">
        <f t="shared" si="4"/>
        <v>33</v>
      </c>
      <c r="D123" s="134">
        <f t="shared" si="4"/>
        <v>35</v>
      </c>
      <c r="E123" s="134">
        <f t="shared" si="5"/>
        <v>27</v>
      </c>
      <c r="F123" s="134">
        <v>10</v>
      </c>
      <c r="G123" s="134">
        <v>20</v>
      </c>
      <c r="H123" s="134">
        <f t="shared" si="6"/>
        <v>0</v>
      </c>
      <c r="I123" s="134">
        <f t="shared" si="7"/>
        <v>0</v>
      </c>
      <c r="J123" s="134">
        <f t="shared" si="8"/>
        <v>0</v>
      </c>
      <c r="K123" s="134">
        <f t="shared" si="9"/>
        <v>1</v>
      </c>
      <c r="L123" s="134">
        <f t="shared" si="10"/>
        <v>1</v>
      </c>
      <c r="M123" s="134">
        <f t="shared" si="11"/>
        <v>1</v>
      </c>
      <c r="N123" s="134">
        <f t="shared" si="12"/>
        <v>1</v>
      </c>
      <c r="O123" s="134">
        <f t="shared" si="13"/>
        <v>1</v>
      </c>
      <c r="P123" s="134">
        <f t="shared" si="14"/>
        <v>1</v>
      </c>
      <c r="Q123" s="134">
        <f t="shared" si="15"/>
        <v>1</v>
      </c>
    </row>
    <row r="124" spans="1:17" x14ac:dyDescent="0.2">
      <c r="A124" s="133">
        <v>43770</v>
      </c>
      <c r="B124" s="3">
        <v>0.1</v>
      </c>
      <c r="C124" s="134">
        <f t="shared" si="4"/>
        <v>33</v>
      </c>
      <c r="D124" s="134">
        <f t="shared" si="4"/>
        <v>35</v>
      </c>
      <c r="E124" s="134">
        <f t="shared" si="5"/>
        <v>27</v>
      </c>
      <c r="F124" s="134">
        <v>10</v>
      </c>
      <c r="G124" s="134">
        <v>20</v>
      </c>
      <c r="H124" s="134">
        <f t="shared" si="6"/>
        <v>0</v>
      </c>
      <c r="I124" s="134">
        <f t="shared" si="7"/>
        <v>0</v>
      </c>
      <c r="J124" s="134">
        <f t="shared" si="8"/>
        <v>0</v>
      </c>
      <c r="K124" s="134">
        <f t="shared" si="9"/>
        <v>1</v>
      </c>
      <c r="L124" s="134">
        <f t="shared" si="10"/>
        <v>1</v>
      </c>
      <c r="M124" s="134">
        <f t="shared" si="11"/>
        <v>1</v>
      </c>
      <c r="N124" s="134">
        <f t="shared" si="12"/>
        <v>1</v>
      </c>
      <c r="O124" s="134">
        <f t="shared" si="13"/>
        <v>1</v>
      </c>
      <c r="P124" s="134">
        <f t="shared" si="14"/>
        <v>1</v>
      </c>
      <c r="Q124" s="134">
        <f t="shared" si="15"/>
        <v>1</v>
      </c>
    </row>
    <row r="125" spans="1:17" x14ac:dyDescent="0.2">
      <c r="A125" s="133">
        <v>43800</v>
      </c>
      <c r="B125" s="3">
        <v>0.1</v>
      </c>
      <c r="C125" s="134">
        <f t="shared" si="4"/>
        <v>33</v>
      </c>
      <c r="D125" s="134">
        <f t="shared" si="4"/>
        <v>35</v>
      </c>
      <c r="E125" s="134">
        <f t="shared" si="5"/>
        <v>27</v>
      </c>
      <c r="F125" s="134">
        <v>10</v>
      </c>
      <c r="G125" s="134">
        <v>20</v>
      </c>
      <c r="H125" s="134">
        <f t="shared" si="6"/>
        <v>0</v>
      </c>
      <c r="I125" s="134">
        <f t="shared" si="7"/>
        <v>0</v>
      </c>
      <c r="J125" s="134">
        <f t="shared" si="8"/>
        <v>0</v>
      </c>
      <c r="K125" s="134">
        <f t="shared" si="9"/>
        <v>1</v>
      </c>
      <c r="L125" s="134">
        <f t="shared" si="10"/>
        <v>1</v>
      </c>
      <c r="M125" s="134">
        <f t="shared" si="11"/>
        <v>1</v>
      </c>
      <c r="N125" s="134">
        <f t="shared" si="12"/>
        <v>1</v>
      </c>
      <c r="O125" s="134">
        <f t="shared" si="13"/>
        <v>1</v>
      </c>
      <c r="P125" s="134">
        <f t="shared" si="14"/>
        <v>1</v>
      </c>
      <c r="Q125" s="134">
        <f t="shared" si="15"/>
        <v>1</v>
      </c>
    </row>
    <row r="126" spans="1:17" x14ac:dyDescent="0.2">
      <c r="A126" s="133">
        <v>43831</v>
      </c>
      <c r="B126" s="3">
        <v>0.1</v>
      </c>
      <c r="C126" s="134">
        <f t="shared" si="4"/>
        <v>33</v>
      </c>
      <c r="D126" s="134">
        <f t="shared" si="4"/>
        <v>35</v>
      </c>
      <c r="E126" s="134">
        <f t="shared" si="5"/>
        <v>27</v>
      </c>
      <c r="F126" s="134">
        <v>10</v>
      </c>
      <c r="G126" s="134">
        <v>20</v>
      </c>
      <c r="H126" s="134">
        <f t="shared" si="6"/>
        <v>0</v>
      </c>
      <c r="I126" s="134">
        <f t="shared" si="7"/>
        <v>0</v>
      </c>
      <c r="J126" s="134">
        <f t="shared" si="8"/>
        <v>0</v>
      </c>
      <c r="K126" s="134">
        <f t="shared" si="9"/>
        <v>1</v>
      </c>
      <c r="L126" s="134">
        <f t="shared" si="10"/>
        <v>1</v>
      </c>
      <c r="M126" s="134">
        <f t="shared" si="11"/>
        <v>1</v>
      </c>
      <c r="N126" s="134">
        <f t="shared" si="12"/>
        <v>1</v>
      </c>
      <c r="O126" s="134">
        <f t="shared" si="13"/>
        <v>1</v>
      </c>
      <c r="P126" s="134">
        <f t="shared" si="14"/>
        <v>1</v>
      </c>
      <c r="Q126" s="134">
        <f t="shared" si="15"/>
        <v>1</v>
      </c>
    </row>
    <row r="127" spans="1:17" x14ac:dyDescent="0.2">
      <c r="A127" s="133">
        <v>43862</v>
      </c>
      <c r="B127" s="3">
        <v>0.1</v>
      </c>
      <c r="C127" s="134">
        <f t="shared" si="4"/>
        <v>33</v>
      </c>
      <c r="D127" s="134">
        <f t="shared" si="4"/>
        <v>35</v>
      </c>
      <c r="E127" s="134">
        <f t="shared" si="5"/>
        <v>27</v>
      </c>
      <c r="F127" s="134">
        <v>10</v>
      </c>
      <c r="G127" s="134">
        <v>20</v>
      </c>
      <c r="H127" s="134">
        <f t="shared" si="6"/>
        <v>0</v>
      </c>
      <c r="I127" s="134">
        <f t="shared" si="7"/>
        <v>0</v>
      </c>
      <c r="J127" s="134">
        <f t="shared" si="8"/>
        <v>0</v>
      </c>
      <c r="K127" s="134">
        <f t="shared" si="9"/>
        <v>1</v>
      </c>
      <c r="L127" s="134">
        <f t="shared" si="10"/>
        <v>1</v>
      </c>
      <c r="M127" s="134">
        <f t="shared" si="11"/>
        <v>1</v>
      </c>
      <c r="N127" s="134">
        <f t="shared" si="12"/>
        <v>1</v>
      </c>
      <c r="O127" s="134">
        <f t="shared" si="13"/>
        <v>1</v>
      </c>
      <c r="P127" s="134">
        <f t="shared" si="14"/>
        <v>1</v>
      </c>
      <c r="Q127" s="134">
        <f t="shared" si="15"/>
        <v>1</v>
      </c>
    </row>
    <row r="128" spans="1:17" x14ac:dyDescent="0.2">
      <c r="A128" s="133">
        <v>43891</v>
      </c>
      <c r="B128" s="3">
        <v>0.1</v>
      </c>
      <c r="C128" s="134">
        <f t="shared" si="4"/>
        <v>33</v>
      </c>
      <c r="D128" s="134">
        <f t="shared" si="4"/>
        <v>35</v>
      </c>
      <c r="E128" s="134">
        <f t="shared" si="5"/>
        <v>27</v>
      </c>
      <c r="F128" s="134">
        <v>10</v>
      </c>
      <c r="G128" s="134">
        <v>20</v>
      </c>
      <c r="H128" s="134">
        <f t="shared" si="6"/>
        <v>0</v>
      </c>
      <c r="I128" s="134">
        <f t="shared" si="7"/>
        <v>0</v>
      </c>
      <c r="J128" s="134">
        <f t="shared" si="8"/>
        <v>0</v>
      </c>
      <c r="K128" s="134">
        <f t="shared" si="9"/>
        <v>1</v>
      </c>
      <c r="L128" s="134">
        <f t="shared" si="10"/>
        <v>1</v>
      </c>
      <c r="M128" s="134">
        <f t="shared" si="11"/>
        <v>1</v>
      </c>
      <c r="N128" s="134">
        <f t="shared" si="12"/>
        <v>1</v>
      </c>
      <c r="O128" s="134">
        <f t="shared" si="13"/>
        <v>1</v>
      </c>
      <c r="P128" s="134">
        <f t="shared" si="14"/>
        <v>1</v>
      </c>
      <c r="Q128" s="134">
        <f t="shared" si="15"/>
        <v>1</v>
      </c>
    </row>
    <row r="129" spans="1:17" x14ac:dyDescent="0.2">
      <c r="A129" s="133">
        <v>43922</v>
      </c>
      <c r="B129" s="3">
        <v>0.1</v>
      </c>
      <c r="C129" s="134">
        <f t="shared" si="4"/>
        <v>33</v>
      </c>
      <c r="D129" s="134">
        <f t="shared" si="4"/>
        <v>35</v>
      </c>
      <c r="E129" s="134">
        <f t="shared" si="5"/>
        <v>27</v>
      </c>
      <c r="F129" s="134">
        <v>10</v>
      </c>
      <c r="G129" s="134">
        <v>20</v>
      </c>
      <c r="H129" s="134">
        <f t="shared" si="6"/>
        <v>0</v>
      </c>
      <c r="I129" s="134">
        <f t="shared" si="7"/>
        <v>0</v>
      </c>
      <c r="J129" s="134">
        <f t="shared" si="8"/>
        <v>0</v>
      </c>
      <c r="K129" s="134">
        <f t="shared" si="9"/>
        <v>1</v>
      </c>
      <c r="L129" s="134">
        <f t="shared" si="10"/>
        <v>1</v>
      </c>
      <c r="M129" s="134">
        <f t="shared" si="11"/>
        <v>1</v>
      </c>
      <c r="N129" s="134">
        <f t="shared" si="12"/>
        <v>1</v>
      </c>
      <c r="O129" s="134">
        <f t="shared" si="13"/>
        <v>1</v>
      </c>
      <c r="P129" s="134">
        <f t="shared" si="14"/>
        <v>1</v>
      </c>
      <c r="Q129" s="134">
        <f t="shared" si="15"/>
        <v>1</v>
      </c>
    </row>
    <row r="130" spans="1:17" x14ac:dyDescent="0.2">
      <c r="A130" s="133">
        <v>43952</v>
      </c>
      <c r="B130" s="3">
        <v>0.1</v>
      </c>
      <c r="C130" s="134">
        <f t="shared" si="4"/>
        <v>33</v>
      </c>
      <c r="D130" s="134">
        <f t="shared" si="4"/>
        <v>35</v>
      </c>
      <c r="E130" s="134">
        <f t="shared" si="5"/>
        <v>27</v>
      </c>
      <c r="F130" s="134">
        <v>10</v>
      </c>
      <c r="G130" s="134">
        <v>20</v>
      </c>
      <c r="H130" s="134">
        <f t="shared" si="6"/>
        <v>0</v>
      </c>
      <c r="I130" s="134">
        <f t="shared" si="7"/>
        <v>0</v>
      </c>
      <c r="J130" s="134">
        <f t="shared" si="8"/>
        <v>0</v>
      </c>
      <c r="K130" s="134">
        <f t="shared" si="9"/>
        <v>1</v>
      </c>
      <c r="L130" s="134">
        <f t="shared" si="10"/>
        <v>1</v>
      </c>
      <c r="M130" s="134">
        <f t="shared" si="11"/>
        <v>1</v>
      </c>
      <c r="N130" s="134">
        <f t="shared" si="12"/>
        <v>1</v>
      </c>
      <c r="O130" s="134">
        <f t="shared" si="13"/>
        <v>1</v>
      </c>
      <c r="P130" s="134">
        <f t="shared" si="14"/>
        <v>1</v>
      </c>
      <c r="Q130" s="134">
        <f t="shared" si="15"/>
        <v>1</v>
      </c>
    </row>
    <row r="131" spans="1:17" x14ac:dyDescent="0.2">
      <c r="A131" s="133">
        <v>43983</v>
      </c>
      <c r="B131" s="3">
        <v>0.1</v>
      </c>
      <c r="C131" s="134">
        <f t="shared" si="4"/>
        <v>33</v>
      </c>
      <c r="D131" s="134">
        <f t="shared" si="4"/>
        <v>35</v>
      </c>
      <c r="E131" s="134">
        <f t="shared" si="5"/>
        <v>27</v>
      </c>
      <c r="F131" s="134">
        <v>10</v>
      </c>
      <c r="G131" s="134">
        <v>20</v>
      </c>
      <c r="H131" s="134">
        <f t="shared" si="6"/>
        <v>0</v>
      </c>
      <c r="I131" s="134">
        <f t="shared" si="7"/>
        <v>0</v>
      </c>
      <c r="J131" s="134">
        <f t="shared" si="8"/>
        <v>0</v>
      </c>
      <c r="K131" s="134">
        <f t="shared" si="9"/>
        <v>1</v>
      </c>
      <c r="L131" s="134">
        <f t="shared" si="10"/>
        <v>1</v>
      </c>
      <c r="M131" s="134">
        <f t="shared" si="11"/>
        <v>1</v>
      </c>
      <c r="N131" s="134">
        <f t="shared" si="12"/>
        <v>1</v>
      </c>
      <c r="O131" s="134">
        <f t="shared" si="13"/>
        <v>1</v>
      </c>
      <c r="P131" s="134">
        <f t="shared" si="14"/>
        <v>1</v>
      </c>
      <c r="Q131" s="134">
        <f t="shared" si="15"/>
        <v>1</v>
      </c>
    </row>
    <row r="132" spans="1:17" x14ac:dyDescent="0.2">
      <c r="A132" s="133">
        <v>44013</v>
      </c>
      <c r="B132" s="3">
        <v>0.1</v>
      </c>
      <c r="C132" s="134">
        <f t="shared" si="4"/>
        <v>33</v>
      </c>
      <c r="D132" s="134">
        <f t="shared" si="4"/>
        <v>35</v>
      </c>
      <c r="E132" s="134">
        <f t="shared" si="5"/>
        <v>27</v>
      </c>
      <c r="F132" s="134">
        <v>10</v>
      </c>
      <c r="G132" s="134">
        <v>20</v>
      </c>
      <c r="H132" s="134">
        <f t="shared" si="6"/>
        <v>0</v>
      </c>
      <c r="I132" s="134">
        <f t="shared" si="7"/>
        <v>0</v>
      </c>
      <c r="J132" s="134">
        <f t="shared" si="8"/>
        <v>0</v>
      </c>
      <c r="K132" s="134">
        <f t="shared" si="9"/>
        <v>1</v>
      </c>
      <c r="L132" s="134">
        <f t="shared" si="10"/>
        <v>1</v>
      </c>
      <c r="M132" s="134">
        <f t="shared" si="11"/>
        <v>1</v>
      </c>
      <c r="N132" s="134">
        <f t="shared" si="12"/>
        <v>1</v>
      </c>
      <c r="O132" s="134">
        <f t="shared" si="13"/>
        <v>1</v>
      </c>
      <c r="P132" s="134">
        <f t="shared" si="14"/>
        <v>1</v>
      </c>
      <c r="Q132" s="134">
        <f t="shared" si="15"/>
        <v>1</v>
      </c>
    </row>
    <row r="133" spans="1:17" x14ac:dyDescent="0.2">
      <c r="A133" s="133">
        <v>44044</v>
      </c>
      <c r="B133" s="3">
        <v>0.1</v>
      </c>
      <c r="C133" s="134">
        <f t="shared" si="4"/>
        <v>33</v>
      </c>
      <c r="D133" s="134">
        <f t="shared" si="4"/>
        <v>35</v>
      </c>
      <c r="E133" s="134">
        <f t="shared" si="5"/>
        <v>27</v>
      </c>
      <c r="F133" s="134">
        <v>10</v>
      </c>
      <c r="G133" s="134">
        <v>20</v>
      </c>
      <c r="H133" s="134">
        <f t="shared" si="6"/>
        <v>0</v>
      </c>
      <c r="I133" s="134">
        <f t="shared" si="7"/>
        <v>0</v>
      </c>
      <c r="J133" s="134">
        <f t="shared" si="8"/>
        <v>0</v>
      </c>
      <c r="K133" s="134">
        <f t="shared" si="9"/>
        <v>1</v>
      </c>
      <c r="L133" s="134">
        <f t="shared" si="10"/>
        <v>1</v>
      </c>
      <c r="M133" s="134">
        <f t="shared" si="11"/>
        <v>1</v>
      </c>
      <c r="N133" s="134">
        <f t="shared" si="12"/>
        <v>1</v>
      </c>
      <c r="O133" s="134">
        <f t="shared" si="13"/>
        <v>1</v>
      </c>
      <c r="P133" s="134">
        <f t="shared" si="14"/>
        <v>1</v>
      </c>
      <c r="Q133" s="134">
        <f t="shared" si="15"/>
        <v>1</v>
      </c>
    </row>
    <row r="134" spans="1:17" x14ac:dyDescent="0.2">
      <c r="A134" s="133">
        <v>44075</v>
      </c>
      <c r="B134" s="3">
        <v>0.1</v>
      </c>
      <c r="C134" s="134">
        <f t="shared" si="4"/>
        <v>33</v>
      </c>
      <c r="D134" s="134">
        <f t="shared" si="4"/>
        <v>35</v>
      </c>
      <c r="E134" s="134">
        <f t="shared" si="5"/>
        <v>27</v>
      </c>
      <c r="F134" s="134">
        <v>10</v>
      </c>
      <c r="G134" s="134">
        <v>20</v>
      </c>
      <c r="H134" s="134">
        <f t="shared" si="6"/>
        <v>0</v>
      </c>
      <c r="I134" s="134">
        <f t="shared" si="7"/>
        <v>0</v>
      </c>
      <c r="J134" s="134">
        <f t="shared" si="8"/>
        <v>0</v>
      </c>
      <c r="K134" s="134">
        <f t="shared" si="9"/>
        <v>1</v>
      </c>
      <c r="L134" s="134">
        <f t="shared" si="10"/>
        <v>1</v>
      </c>
      <c r="M134" s="134">
        <f t="shared" si="11"/>
        <v>1</v>
      </c>
      <c r="N134" s="134">
        <f t="shared" si="12"/>
        <v>1</v>
      </c>
      <c r="O134" s="134">
        <f t="shared" si="13"/>
        <v>1</v>
      </c>
      <c r="P134" s="134">
        <f t="shared" si="14"/>
        <v>1</v>
      </c>
      <c r="Q134" s="134">
        <f t="shared" si="15"/>
        <v>1</v>
      </c>
    </row>
    <row r="135" spans="1:17" x14ac:dyDescent="0.2">
      <c r="A135" s="133">
        <v>44105</v>
      </c>
      <c r="B135" s="3">
        <v>0.1</v>
      </c>
      <c r="C135" s="134">
        <f t="shared" si="4"/>
        <v>33</v>
      </c>
      <c r="D135" s="134">
        <f t="shared" si="4"/>
        <v>35</v>
      </c>
      <c r="E135" s="134">
        <f t="shared" si="5"/>
        <v>27</v>
      </c>
      <c r="F135" s="134">
        <v>10</v>
      </c>
      <c r="G135" s="134">
        <v>20</v>
      </c>
      <c r="H135" s="134">
        <f t="shared" si="6"/>
        <v>0</v>
      </c>
      <c r="I135" s="134">
        <f t="shared" si="7"/>
        <v>0</v>
      </c>
      <c r="J135" s="134">
        <f t="shared" si="8"/>
        <v>0</v>
      </c>
      <c r="K135" s="134">
        <f t="shared" si="9"/>
        <v>1</v>
      </c>
      <c r="L135" s="134">
        <f t="shared" si="10"/>
        <v>1</v>
      </c>
      <c r="M135" s="134">
        <f t="shared" si="11"/>
        <v>1</v>
      </c>
      <c r="N135" s="134">
        <f t="shared" si="12"/>
        <v>1</v>
      </c>
      <c r="O135" s="134">
        <f t="shared" si="13"/>
        <v>1</v>
      </c>
      <c r="P135" s="134">
        <f t="shared" si="14"/>
        <v>1</v>
      </c>
      <c r="Q135" s="134">
        <f t="shared" si="15"/>
        <v>1</v>
      </c>
    </row>
    <row r="136" spans="1:17" x14ac:dyDescent="0.2">
      <c r="A136" s="133">
        <v>44136</v>
      </c>
      <c r="B136" s="3">
        <v>0.1</v>
      </c>
      <c r="C136" s="134">
        <f t="shared" si="4"/>
        <v>33</v>
      </c>
      <c r="D136" s="134">
        <f t="shared" si="4"/>
        <v>35</v>
      </c>
      <c r="E136" s="134">
        <f t="shared" si="5"/>
        <v>27</v>
      </c>
      <c r="F136" s="134">
        <v>10</v>
      </c>
      <c r="G136" s="134">
        <v>20</v>
      </c>
      <c r="H136" s="134">
        <f t="shared" si="6"/>
        <v>0</v>
      </c>
      <c r="I136" s="134">
        <f t="shared" si="7"/>
        <v>0</v>
      </c>
      <c r="J136" s="134">
        <f t="shared" si="8"/>
        <v>0</v>
      </c>
      <c r="K136" s="134">
        <f t="shared" si="9"/>
        <v>1</v>
      </c>
      <c r="L136" s="134">
        <f t="shared" si="10"/>
        <v>1</v>
      </c>
      <c r="M136" s="134">
        <f t="shared" si="11"/>
        <v>1</v>
      </c>
      <c r="N136" s="134">
        <f t="shared" si="12"/>
        <v>1</v>
      </c>
      <c r="O136" s="134">
        <f t="shared" si="13"/>
        <v>1</v>
      </c>
      <c r="P136" s="134">
        <f t="shared" si="14"/>
        <v>1</v>
      </c>
      <c r="Q136" s="134">
        <f t="shared" si="15"/>
        <v>1</v>
      </c>
    </row>
    <row r="137" spans="1:17" x14ac:dyDescent="0.2">
      <c r="A137" s="133">
        <v>44166</v>
      </c>
      <c r="B137" s="3">
        <v>0.1</v>
      </c>
      <c r="C137" s="134">
        <f t="shared" si="4"/>
        <v>33</v>
      </c>
      <c r="D137" s="134">
        <f t="shared" si="4"/>
        <v>35</v>
      </c>
      <c r="E137" s="134">
        <f t="shared" si="5"/>
        <v>27</v>
      </c>
      <c r="F137" s="134">
        <v>10</v>
      </c>
      <c r="G137" s="134">
        <v>20</v>
      </c>
      <c r="H137" s="134">
        <f t="shared" si="6"/>
        <v>0</v>
      </c>
      <c r="I137" s="134">
        <f t="shared" si="7"/>
        <v>0</v>
      </c>
      <c r="J137" s="134">
        <f t="shared" si="8"/>
        <v>0</v>
      </c>
      <c r="K137" s="134">
        <f t="shared" si="9"/>
        <v>1</v>
      </c>
      <c r="L137" s="134">
        <f t="shared" si="10"/>
        <v>1</v>
      </c>
      <c r="M137" s="134">
        <f t="shared" si="11"/>
        <v>1</v>
      </c>
      <c r="N137" s="134">
        <f t="shared" si="12"/>
        <v>1</v>
      </c>
      <c r="O137" s="134">
        <f t="shared" si="13"/>
        <v>1</v>
      </c>
      <c r="P137" s="134">
        <f t="shared" si="14"/>
        <v>1</v>
      </c>
      <c r="Q137" s="134">
        <f t="shared" si="15"/>
        <v>1</v>
      </c>
    </row>
    <row r="138" spans="1:17" x14ac:dyDescent="0.2">
      <c r="A138" s="133"/>
      <c r="B138" s="133"/>
    </row>
    <row r="139" spans="1:17" x14ac:dyDescent="0.2">
      <c r="A139" s="133"/>
      <c r="B139" s="133"/>
    </row>
    <row r="140" spans="1:17" x14ac:dyDescent="0.2">
      <c r="A140" s="133"/>
      <c r="B140" s="133"/>
    </row>
    <row r="141" spans="1:17" x14ac:dyDescent="0.2">
      <c r="A141" s="133"/>
      <c r="B141" s="133"/>
    </row>
    <row r="142" spans="1:17" x14ac:dyDescent="0.2">
      <c r="A142" s="133"/>
      <c r="B142" s="133"/>
    </row>
    <row r="143" spans="1:17" x14ac:dyDescent="0.2">
      <c r="A143" s="133"/>
      <c r="B143" s="133"/>
    </row>
    <row r="144" spans="1:17" x14ac:dyDescent="0.2">
      <c r="A144" s="133"/>
      <c r="B144" s="133"/>
    </row>
    <row r="145" spans="1:2" x14ac:dyDescent="0.2">
      <c r="A145" s="133"/>
      <c r="B145" s="133"/>
    </row>
    <row r="146" spans="1:2" x14ac:dyDescent="0.2">
      <c r="A146" s="133"/>
      <c r="B146" s="133"/>
    </row>
    <row r="147" spans="1:2" x14ac:dyDescent="0.2">
      <c r="A147" s="133"/>
      <c r="B147" s="133"/>
    </row>
    <row r="148" spans="1:2" x14ac:dyDescent="0.2">
      <c r="A148" s="133"/>
      <c r="B148" s="133"/>
    </row>
    <row r="149" spans="1:2" x14ac:dyDescent="0.2">
      <c r="A149" s="133"/>
      <c r="B149" s="133"/>
    </row>
    <row r="150" spans="1:2" x14ac:dyDescent="0.2">
      <c r="A150" s="133"/>
      <c r="B150" s="133"/>
    </row>
    <row r="151" spans="1:2" x14ac:dyDescent="0.2">
      <c r="A151" s="133"/>
      <c r="B151" s="133"/>
    </row>
    <row r="152" spans="1:2" x14ac:dyDescent="0.2">
      <c r="A152" s="133"/>
      <c r="B152" s="133"/>
    </row>
    <row r="153" spans="1:2" x14ac:dyDescent="0.2">
      <c r="A153" s="133"/>
      <c r="B153" s="133"/>
    </row>
    <row r="154" spans="1:2" x14ac:dyDescent="0.2">
      <c r="A154" s="133"/>
      <c r="B154" s="133"/>
    </row>
    <row r="155" spans="1:2" x14ac:dyDescent="0.2">
      <c r="A155" s="133"/>
      <c r="B155" s="133"/>
    </row>
    <row r="156" spans="1:2" x14ac:dyDescent="0.2">
      <c r="A156" s="133"/>
      <c r="B156" s="133"/>
    </row>
    <row r="157" spans="1:2" x14ac:dyDescent="0.2">
      <c r="A157" s="133"/>
      <c r="B157" s="133"/>
    </row>
    <row r="158" spans="1:2" x14ac:dyDescent="0.2">
      <c r="A158" s="133"/>
      <c r="B158" s="133"/>
    </row>
    <row r="159" spans="1:2" x14ac:dyDescent="0.2">
      <c r="A159" s="133"/>
      <c r="B159" s="133"/>
    </row>
    <row r="160" spans="1:2" x14ac:dyDescent="0.2">
      <c r="A160" s="133"/>
      <c r="B160" s="133"/>
    </row>
    <row r="161" spans="1:2" x14ac:dyDescent="0.2">
      <c r="A161" s="133"/>
      <c r="B161" s="133"/>
    </row>
    <row r="162" spans="1:2" x14ac:dyDescent="0.2">
      <c r="A162" s="133"/>
      <c r="B162" s="133"/>
    </row>
    <row r="163" spans="1:2" x14ac:dyDescent="0.2">
      <c r="A163" s="133"/>
      <c r="B163" s="133"/>
    </row>
    <row r="164" spans="1:2" x14ac:dyDescent="0.2">
      <c r="A164" s="133"/>
      <c r="B164" s="133"/>
    </row>
    <row r="165" spans="1:2" x14ac:dyDescent="0.2">
      <c r="A165" s="133"/>
      <c r="B165" s="133"/>
    </row>
    <row r="166" spans="1:2" x14ac:dyDescent="0.2">
      <c r="A166" s="133"/>
      <c r="B166" s="133"/>
    </row>
    <row r="167" spans="1:2" x14ac:dyDescent="0.2">
      <c r="A167" s="133"/>
      <c r="B167" s="133"/>
    </row>
    <row r="168" spans="1:2" x14ac:dyDescent="0.2">
      <c r="A168" s="133"/>
      <c r="B168" s="133"/>
    </row>
    <row r="169" spans="1:2" x14ac:dyDescent="0.2">
      <c r="A169" s="133"/>
      <c r="B169" s="133"/>
    </row>
    <row r="170" spans="1:2" x14ac:dyDescent="0.2">
      <c r="A170" s="133"/>
      <c r="B170" s="133"/>
    </row>
    <row r="171" spans="1:2" x14ac:dyDescent="0.2">
      <c r="A171" s="133"/>
      <c r="B171" s="133"/>
    </row>
    <row r="172" spans="1:2" x14ac:dyDescent="0.2">
      <c r="A172" s="133"/>
      <c r="B172" s="133"/>
    </row>
    <row r="173" spans="1:2" x14ac:dyDescent="0.2">
      <c r="A173" s="133"/>
      <c r="B173" s="133"/>
    </row>
    <row r="174" spans="1:2" x14ac:dyDescent="0.2">
      <c r="A174" s="133"/>
      <c r="B174" s="133"/>
    </row>
    <row r="175" spans="1:2" x14ac:dyDescent="0.2">
      <c r="A175" s="133"/>
      <c r="B175" s="133"/>
    </row>
    <row r="176" spans="1:2" x14ac:dyDescent="0.2">
      <c r="A176" s="133"/>
      <c r="B176" s="133"/>
    </row>
    <row r="177" spans="1:2" x14ac:dyDescent="0.2">
      <c r="A177" s="133"/>
      <c r="B177" s="133"/>
    </row>
    <row r="178" spans="1:2" x14ac:dyDescent="0.2">
      <c r="A178" s="133"/>
      <c r="B178" s="133"/>
    </row>
    <row r="179" spans="1:2" x14ac:dyDescent="0.2">
      <c r="A179" s="133"/>
      <c r="B179" s="133"/>
    </row>
    <row r="180" spans="1:2" x14ac:dyDescent="0.2">
      <c r="A180" s="133"/>
      <c r="B180" s="133"/>
    </row>
    <row r="181" spans="1:2" x14ac:dyDescent="0.2">
      <c r="A181" s="133"/>
      <c r="B181" s="133"/>
    </row>
    <row r="182" spans="1:2" x14ac:dyDescent="0.2">
      <c r="A182" s="133"/>
      <c r="B182" s="133"/>
    </row>
    <row r="183" spans="1:2" x14ac:dyDescent="0.2">
      <c r="A183" s="133"/>
      <c r="B183" s="133"/>
    </row>
    <row r="184" spans="1:2" x14ac:dyDescent="0.2">
      <c r="A184" s="133"/>
      <c r="B184" s="133"/>
    </row>
    <row r="185" spans="1:2" x14ac:dyDescent="0.2">
      <c r="A185" s="133"/>
      <c r="B185" s="133"/>
    </row>
    <row r="186" spans="1:2" x14ac:dyDescent="0.2">
      <c r="A186" s="133"/>
      <c r="B186" s="133"/>
    </row>
    <row r="187" spans="1:2" x14ac:dyDescent="0.2">
      <c r="A187" s="133"/>
      <c r="B187" s="133"/>
    </row>
    <row r="188" spans="1:2" x14ac:dyDescent="0.2">
      <c r="A188" s="133"/>
      <c r="B188" s="133"/>
    </row>
    <row r="189" spans="1:2" x14ac:dyDescent="0.2">
      <c r="A189" s="133"/>
      <c r="B189" s="133"/>
    </row>
    <row r="190" spans="1:2" x14ac:dyDescent="0.2">
      <c r="A190" s="133"/>
      <c r="B190" s="133"/>
    </row>
    <row r="191" spans="1:2" x14ac:dyDescent="0.2">
      <c r="A191" s="133"/>
      <c r="B191" s="133"/>
    </row>
    <row r="192" spans="1:2" x14ac:dyDescent="0.2">
      <c r="A192" s="133"/>
      <c r="B192" s="133"/>
    </row>
    <row r="193" spans="1:2" x14ac:dyDescent="0.2">
      <c r="A193" s="133"/>
      <c r="B193" s="133"/>
    </row>
    <row r="194" spans="1:2" x14ac:dyDescent="0.2">
      <c r="A194" s="133"/>
      <c r="B194" s="133"/>
    </row>
    <row r="195" spans="1:2" x14ac:dyDescent="0.2">
      <c r="A195" s="133"/>
      <c r="B195" s="133"/>
    </row>
    <row r="196" spans="1:2" x14ac:dyDescent="0.2">
      <c r="A196" s="133"/>
      <c r="B196" s="133"/>
    </row>
    <row r="197" spans="1:2" x14ac:dyDescent="0.2">
      <c r="A197" s="133"/>
      <c r="B197" s="133"/>
    </row>
    <row r="198" spans="1:2" x14ac:dyDescent="0.2">
      <c r="A198" s="133"/>
      <c r="B198" s="133"/>
    </row>
    <row r="199" spans="1:2" x14ac:dyDescent="0.2">
      <c r="A199" s="133"/>
      <c r="B199" s="133"/>
    </row>
    <row r="200" spans="1:2" x14ac:dyDescent="0.2">
      <c r="A200" s="133"/>
      <c r="B200" s="133"/>
    </row>
    <row r="201" spans="1:2" x14ac:dyDescent="0.2">
      <c r="A201" s="133"/>
      <c r="B201" s="133"/>
    </row>
    <row r="202" spans="1:2" x14ac:dyDescent="0.2">
      <c r="A202" s="133"/>
      <c r="B202" s="133"/>
    </row>
    <row r="203" spans="1:2" x14ac:dyDescent="0.2">
      <c r="A203" s="133"/>
      <c r="B203" s="133"/>
    </row>
    <row r="204" spans="1:2" x14ac:dyDescent="0.2">
      <c r="A204" s="133"/>
      <c r="B204" s="133"/>
    </row>
    <row r="205" spans="1:2" x14ac:dyDescent="0.2">
      <c r="A205" s="133"/>
      <c r="B205" s="133"/>
    </row>
    <row r="206" spans="1:2" x14ac:dyDescent="0.2">
      <c r="A206" s="133"/>
      <c r="B206" s="133"/>
    </row>
    <row r="207" spans="1:2" x14ac:dyDescent="0.2">
      <c r="A207" s="133"/>
      <c r="B207" s="133"/>
    </row>
    <row r="208" spans="1:2" x14ac:dyDescent="0.2">
      <c r="A208" s="133"/>
      <c r="B208" s="133"/>
    </row>
    <row r="209" spans="1:2" x14ac:dyDescent="0.2">
      <c r="A209" s="133"/>
      <c r="B209" s="133"/>
    </row>
    <row r="210" spans="1:2" x14ac:dyDescent="0.2">
      <c r="A210" s="133"/>
      <c r="B210" s="133"/>
    </row>
    <row r="211" spans="1:2" x14ac:dyDescent="0.2">
      <c r="A211" s="133"/>
      <c r="B211" s="133"/>
    </row>
    <row r="212" spans="1:2" x14ac:dyDescent="0.2">
      <c r="A212" s="133"/>
      <c r="B212" s="133"/>
    </row>
    <row r="213" spans="1:2" x14ac:dyDescent="0.2">
      <c r="A213" s="133"/>
      <c r="B213" s="133"/>
    </row>
    <row r="214" spans="1:2" x14ac:dyDescent="0.2">
      <c r="A214" s="133"/>
      <c r="B214" s="133"/>
    </row>
    <row r="215" spans="1:2" x14ac:dyDescent="0.2">
      <c r="A215" s="133"/>
      <c r="B215" s="133"/>
    </row>
    <row r="216" spans="1:2" x14ac:dyDescent="0.2">
      <c r="A216" s="133"/>
      <c r="B216" s="133"/>
    </row>
    <row r="217" spans="1:2" x14ac:dyDescent="0.2">
      <c r="A217" s="133"/>
      <c r="B217" s="133"/>
    </row>
    <row r="218" spans="1:2" x14ac:dyDescent="0.2">
      <c r="A218" s="133"/>
      <c r="B218" s="133"/>
    </row>
    <row r="219" spans="1:2" x14ac:dyDescent="0.2">
      <c r="A219" s="133"/>
      <c r="B219" s="133"/>
    </row>
    <row r="220" spans="1:2" x14ac:dyDescent="0.2">
      <c r="A220" s="133"/>
      <c r="B220" s="133"/>
    </row>
    <row r="221" spans="1:2" x14ac:dyDescent="0.2">
      <c r="A221" s="133"/>
      <c r="B221" s="133"/>
    </row>
    <row r="222" spans="1:2" x14ac:dyDescent="0.2">
      <c r="A222" s="133"/>
      <c r="B222" s="133"/>
    </row>
    <row r="223" spans="1:2" x14ac:dyDescent="0.2">
      <c r="A223" s="133"/>
      <c r="B223" s="133"/>
    </row>
    <row r="224" spans="1:2" x14ac:dyDescent="0.2">
      <c r="A224" s="133"/>
      <c r="B224" s="133"/>
    </row>
    <row r="225" spans="1:2" x14ac:dyDescent="0.2">
      <c r="A225" s="133"/>
      <c r="B225" s="133"/>
    </row>
    <row r="226" spans="1:2" x14ac:dyDescent="0.2">
      <c r="A226" s="133"/>
      <c r="B226" s="133"/>
    </row>
    <row r="227" spans="1:2" x14ac:dyDescent="0.2">
      <c r="A227" s="133"/>
      <c r="B227" s="133"/>
    </row>
    <row r="228" spans="1:2" x14ac:dyDescent="0.2">
      <c r="A228" s="133"/>
      <c r="B228" s="133"/>
    </row>
    <row r="229" spans="1:2" x14ac:dyDescent="0.2">
      <c r="A229" s="133"/>
      <c r="B229" s="133"/>
    </row>
    <row r="230" spans="1:2" x14ac:dyDescent="0.2">
      <c r="A230" s="133"/>
      <c r="B230" s="133"/>
    </row>
    <row r="231" spans="1:2" x14ac:dyDescent="0.2">
      <c r="A231" s="133"/>
      <c r="B231" s="133"/>
    </row>
    <row r="232" spans="1:2" x14ac:dyDescent="0.2">
      <c r="A232" s="133"/>
      <c r="B232" s="133"/>
    </row>
    <row r="233" spans="1:2" x14ac:dyDescent="0.2">
      <c r="A233" s="133"/>
      <c r="B233" s="133"/>
    </row>
    <row r="234" spans="1:2" x14ac:dyDescent="0.2">
      <c r="A234" s="133"/>
      <c r="B234" s="133"/>
    </row>
    <row r="235" spans="1:2" x14ac:dyDescent="0.2">
      <c r="A235" s="133"/>
      <c r="B235" s="133"/>
    </row>
    <row r="236" spans="1:2" x14ac:dyDescent="0.2">
      <c r="A236" s="133"/>
      <c r="B236" s="133"/>
    </row>
    <row r="237" spans="1:2" x14ac:dyDescent="0.2">
      <c r="A237" s="133"/>
      <c r="B237" s="133"/>
    </row>
  </sheetData>
  <mergeCells count="8">
    <mergeCell ref="B1:B3"/>
    <mergeCell ref="H1:Q1"/>
    <mergeCell ref="C1:E1"/>
    <mergeCell ref="F1:G1"/>
    <mergeCell ref="C2:D2"/>
    <mergeCell ref="E2:E3"/>
    <mergeCell ref="G2:G3"/>
    <mergeCell ref="F2:F3"/>
  </mergeCells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79998168889431442"/>
  </sheetPr>
  <dimension ref="A1:X100"/>
  <sheetViews>
    <sheetView topLeftCell="A28" workbookViewId="0">
      <selection activeCell="J42" sqref="I42:J43"/>
    </sheetView>
  </sheetViews>
  <sheetFormatPr defaultRowHeight="13" x14ac:dyDescent="0.2"/>
  <cols>
    <col min="1" max="1" width="12.90625" bestFit="1" customWidth="1"/>
    <col min="2" max="2" width="9.453125" bestFit="1" customWidth="1"/>
    <col min="3" max="3" width="9.26953125" bestFit="1" customWidth="1"/>
    <col min="4" max="4" width="9.08984375" bestFit="1" customWidth="1"/>
    <col min="5" max="5" width="9.453125" bestFit="1" customWidth="1"/>
    <col min="13" max="13" width="12.90625" bestFit="1" customWidth="1"/>
    <col min="18" max="18" width="12.7265625" bestFit="1" customWidth="1"/>
  </cols>
  <sheetData>
    <row r="1" spans="1:24" x14ac:dyDescent="0.2">
      <c r="A1" t="s">
        <v>13</v>
      </c>
    </row>
    <row r="2" spans="1:24" x14ac:dyDescent="0.2">
      <c r="A2" t="s">
        <v>10</v>
      </c>
      <c r="D2" s="5">
        <v>155</v>
      </c>
      <c r="L2" t="s">
        <v>110</v>
      </c>
      <c r="M2" t="s">
        <v>115</v>
      </c>
      <c r="N2" t="s">
        <v>113</v>
      </c>
      <c r="O2" s="91">
        <f>(1+(シミュレーション設定!D19/12))^(12*シミュレーション設定!D18)</f>
        <v>1.2151630027881013</v>
      </c>
    </row>
    <row r="3" spans="1:24" x14ac:dyDescent="0.2">
      <c r="A3" t="s">
        <v>11</v>
      </c>
      <c r="B3" s="4">
        <v>0.249</v>
      </c>
      <c r="C3" s="5"/>
      <c r="D3" s="5">
        <v>460</v>
      </c>
      <c r="L3" t="s">
        <v>111</v>
      </c>
      <c r="M3" t="s">
        <v>116</v>
      </c>
      <c r="N3" t="s">
        <v>114</v>
      </c>
      <c r="O3">
        <f>シミュレーション設定!D19/12</f>
        <v>1.25E-3</v>
      </c>
    </row>
    <row r="4" spans="1:24" x14ac:dyDescent="0.2">
      <c r="A4" t="s">
        <v>3</v>
      </c>
      <c r="B4" s="4">
        <v>0.16200000000000001</v>
      </c>
      <c r="C4" s="5"/>
      <c r="D4" s="5">
        <f>40*20*4*300/1000</f>
        <v>960</v>
      </c>
      <c r="L4" t="s">
        <v>112</v>
      </c>
      <c r="N4" t="s">
        <v>117</v>
      </c>
      <c r="O4">
        <f>O3*O2/(O2-1)</f>
        <v>7.0595489642847004E-3</v>
      </c>
      <c r="P4" s="90">
        <f>2941000*O4</f>
        <v>20762.133503961304</v>
      </c>
    </row>
    <row r="5" spans="1:24" x14ac:dyDescent="0.2">
      <c r="A5" t="s">
        <v>4</v>
      </c>
      <c r="B5" s="4">
        <v>0.155</v>
      </c>
      <c r="C5" s="5"/>
      <c r="D5" s="5">
        <v>300</v>
      </c>
    </row>
    <row r="6" spans="1:24" x14ac:dyDescent="0.2">
      <c r="A6" t="s">
        <v>5</v>
      </c>
      <c r="B6" s="4">
        <v>9.9000000000000005E-2</v>
      </c>
      <c r="C6" s="5"/>
      <c r="D6" s="5">
        <v>235</v>
      </c>
      <c r="I6">
        <f>322400+48000</f>
        <v>370400</v>
      </c>
    </row>
    <row r="7" spans="1:24" x14ac:dyDescent="0.2">
      <c r="A7" t="s">
        <v>6</v>
      </c>
      <c r="B7" s="4">
        <v>4.1000000000000002E-2</v>
      </c>
      <c r="C7" s="5"/>
      <c r="D7" s="5">
        <v>65</v>
      </c>
    </row>
    <row r="8" spans="1:24" x14ac:dyDescent="0.2">
      <c r="A8" t="s">
        <v>7</v>
      </c>
      <c r="B8" s="4">
        <v>2.9000000000000001E-2</v>
      </c>
      <c r="C8" s="5"/>
      <c r="D8" s="5">
        <v>100</v>
      </c>
      <c r="I8">
        <f>322400*1.05</f>
        <v>338520</v>
      </c>
    </row>
    <row r="9" spans="1:24" x14ac:dyDescent="0.2">
      <c r="A9" t="s">
        <v>8</v>
      </c>
      <c r="B9" s="4">
        <v>1.7000000000000001E-2</v>
      </c>
      <c r="C9" s="5"/>
      <c r="I9">
        <f>I8+48000</f>
        <v>386520</v>
      </c>
    </row>
    <row r="10" spans="1:24" x14ac:dyDescent="0.2">
      <c r="A10" t="s">
        <v>9</v>
      </c>
      <c r="B10">
        <f>20.3%+4.4%</f>
        <v>0.24700000000000003</v>
      </c>
      <c r="C10" s="5"/>
    </row>
    <row r="11" spans="1:24" x14ac:dyDescent="0.2">
      <c r="A11" t="s">
        <v>0</v>
      </c>
      <c r="C11" s="5"/>
      <c r="D11" s="5">
        <f>SUM(D3:D10)</f>
        <v>2120</v>
      </c>
    </row>
    <row r="14" spans="1:24" x14ac:dyDescent="0.2">
      <c r="A14" t="s">
        <v>107</v>
      </c>
      <c r="B14">
        <v>35000</v>
      </c>
      <c r="Q14" t="s">
        <v>108</v>
      </c>
      <c r="U14" t="s">
        <v>109</v>
      </c>
      <c r="W14" t="s">
        <v>108</v>
      </c>
      <c r="X14" t="s">
        <v>109</v>
      </c>
    </row>
    <row r="15" spans="1:24" x14ac:dyDescent="0.2">
      <c r="B15">
        <v>30000</v>
      </c>
      <c r="Q15" s="2">
        <v>3</v>
      </c>
      <c r="R15" s="1">
        <v>1406000</v>
      </c>
    </row>
    <row r="16" spans="1:24" x14ac:dyDescent="0.2">
      <c r="A16" t="s">
        <v>12</v>
      </c>
      <c r="B16" t="s">
        <v>1</v>
      </c>
      <c r="C16" t="s">
        <v>105</v>
      </c>
      <c r="D16" t="s">
        <v>106</v>
      </c>
      <c r="E16" t="s">
        <v>2</v>
      </c>
      <c r="F16" t="s">
        <v>1</v>
      </c>
      <c r="Q16" s="2">
        <v>4</v>
      </c>
      <c r="R16" s="1">
        <v>1846000</v>
      </c>
    </row>
    <row r="17" spans="1:24" x14ac:dyDescent="0.2">
      <c r="A17" s="2">
        <v>3</v>
      </c>
      <c r="B17" s="1">
        <f t="shared" ref="B17:B23" si="0">D17/A17</f>
        <v>498666.66666666669</v>
      </c>
      <c r="C17" s="1">
        <v>1406000</v>
      </c>
      <c r="D17">
        <f>C17+A17*$B$15</f>
        <v>1496000</v>
      </c>
      <c r="E17">
        <f>B17*A17*1.05</f>
        <v>1570800</v>
      </c>
      <c r="F17" s="1">
        <f>F18</f>
        <v>516075</v>
      </c>
      <c r="Q17" s="2">
        <v>5</v>
      </c>
      <c r="R17" s="1">
        <v>2164000</v>
      </c>
    </row>
    <row r="18" spans="1:24" x14ac:dyDescent="0.2">
      <c r="A18" s="2">
        <v>4</v>
      </c>
      <c r="B18" s="1">
        <f t="shared" si="0"/>
        <v>491500</v>
      </c>
      <c r="C18" s="1">
        <v>1846000</v>
      </c>
      <c r="D18">
        <f>C18+A18*$B$15</f>
        <v>1966000</v>
      </c>
      <c r="E18">
        <f t="shared" ref="E18:E25" si="1">B18*A18*1.05</f>
        <v>2064300</v>
      </c>
      <c r="F18">
        <f t="shared" ref="F18:F25" si="2">E18/A18</f>
        <v>516075</v>
      </c>
      <c r="G18">
        <v>440000</v>
      </c>
      <c r="H18">
        <f t="shared" ref="H18:H24" si="3">G18/$G$18</f>
        <v>1</v>
      </c>
      <c r="Q18" s="2">
        <v>6</v>
      </c>
      <c r="R18" s="1">
        <v>2437000</v>
      </c>
      <c r="S18">
        <v>2297500</v>
      </c>
      <c r="T18">
        <f>S18+48000*Q18</f>
        <v>2585500</v>
      </c>
      <c r="U18">
        <f>T18/Q18</f>
        <v>430916.66666666669</v>
      </c>
    </row>
    <row r="19" spans="1:24" x14ac:dyDescent="0.2">
      <c r="A19" s="2">
        <v>5</v>
      </c>
      <c r="B19" s="1">
        <f t="shared" si="0"/>
        <v>467800</v>
      </c>
      <c r="C19" s="1">
        <v>2164000</v>
      </c>
      <c r="D19">
        <f t="shared" ref="D19:D24" si="4">C19+A19*$B$14</f>
        <v>2339000</v>
      </c>
      <c r="E19">
        <f t="shared" si="1"/>
        <v>2455950</v>
      </c>
      <c r="F19">
        <f t="shared" si="2"/>
        <v>491190</v>
      </c>
      <c r="G19">
        <v>420000</v>
      </c>
      <c r="H19">
        <f t="shared" si="3"/>
        <v>0.95454545454545459</v>
      </c>
      <c r="Q19" s="2">
        <v>7</v>
      </c>
      <c r="R19" s="90">
        <v>2663000</v>
      </c>
      <c r="S19">
        <v>2528000</v>
      </c>
      <c r="T19">
        <f>S19+48000*Q19</f>
        <v>2864000</v>
      </c>
      <c r="U19">
        <f>T19/Q19</f>
        <v>409142.85714285716</v>
      </c>
      <c r="V19" s="90">
        <f>U18-U19</f>
        <v>21773.809523809527</v>
      </c>
      <c r="W19" s="2">
        <v>7</v>
      </c>
      <c r="X19">
        <v>2864000</v>
      </c>
    </row>
    <row r="20" spans="1:24" x14ac:dyDescent="0.2">
      <c r="A20" s="2">
        <v>6</v>
      </c>
      <c r="B20" s="1">
        <f t="shared" si="0"/>
        <v>441166.66666666669</v>
      </c>
      <c r="C20" s="1">
        <v>2437000</v>
      </c>
      <c r="D20">
        <f t="shared" si="4"/>
        <v>2647000</v>
      </c>
      <c r="E20">
        <f t="shared" si="1"/>
        <v>2779350</v>
      </c>
      <c r="F20">
        <f t="shared" si="2"/>
        <v>463225</v>
      </c>
      <c r="G20">
        <v>400000</v>
      </c>
      <c r="H20">
        <f t="shared" si="3"/>
        <v>0.90909090909090906</v>
      </c>
      <c r="Q20" s="2">
        <v>8</v>
      </c>
      <c r="R20" s="90">
        <v>2846000</v>
      </c>
      <c r="S20">
        <v>2714000</v>
      </c>
      <c r="T20">
        <f>S20+48000*Q20</f>
        <v>3098000</v>
      </c>
      <c r="U20">
        <f>T20/Q20</f>
        <v>387250</v>
      </c>
      <c r="V20" s="90">
        <f>U19-U20</f>
        <v>21892.857142857159</v>
      </c>
      <c r="W20" s="2">
        <v>8</v>
      </c>
      <c r="X20">
        <v>3098000</v>
      </c>
    </row>
    <row r="21" spans="1:24" x14ac:dyDescent="0.2">
      <c r="A21" s="2">
        <v>7</v>
      </c>
      <c r="B21" s="1">
        <f t="shared" si="0"/>
        <v>415428.57142857142</v>
      </c>
      <c r="C21" s="90">
        <v>2663000</v>
      </c>
      <c r="D21">
        <f t="shared" si="4"/>
        <v>2908000</v>
      </c>
      <c r="E21">
        <f t="shared" si="1"/>
        <v>3053400</v>
      </c>
      <c r="F21">
        <f t="shared" si="2"/>
        <v>436200</v>
      </c>
      <c r="G21">
        <v>380000</v>
      </c>
      <c r="H21">
        <f t="shared" si="3"/>
        <v>0.86363636363636365</v>
      </c>
      <c r="I21">
        <f>2663000/7</f>
        <v>380428.57142857142</v>
      </c>
      <c r="Q21" s="2">
        <v>9</v>
      </c>
      <c r="R21" s="90">
        <v>2984000</v>
      </c>
      <c r="S21">
        <v>2858000</v>
      </c>
      <c r="T21">
        <f>S21+48000*Q21</f>
        <v>3290000</v>
      </c>
      <c r="U21">
        <f>T21/Q21</f>
        <v>365555.55555555556</v>
      </c>
      <c r="V21" s="90">
        <f>U20-U21</f>
        <v>21694.444444444438</v>
      </c>
      <c r="W21" s="2">
        <v>9</v>
      </c>
      <c r="X21">
        <v>3277000</v>
      </c>
    </row>
    <row r="22" spans="1:24" x14ac:dyDescent="0.2">
      <c r="A22" s="2">
        <v>8</v>
      </c>
      <c r="B22" s="1">
        <f t="shared" si="0"/>
        <v>390750</v>
      </c>
      <c r="C22" s="90">
        <v>2846000</v>
      </c>
      <c r="D22">
        <f t="shared" si="4"/>
        <v>3126000</v>
      </c>
      <c r="E22">
        <f t="shared" si="1"/>
        <v>3282300</v>
      </c>
      <c r="F22">
        <f t="shared" si="2"/>
        <v>410287.5</v>
      </c>
      <c r="G22">
        <v>360000</v>
      </c>
      <c r="H22">
        <f t="shared" si="3"/>
        <v>0.81818181818181823</v>
      </c>
      <c r="Q22" s="2">
        <v>9.9</v>
      </c>
      <c r="R22" s="90">
        <v>3070000</v>
      </c>
      <c r="S22">
        <v>2945500</v>
      </c>
      <c r="T22">
        <f>S22+48000*Q22</f>
        <v>3420700</v>
      </c>
      <c r="U22">
        <f>T22/Q22</f>
        <v>345525.25252525252</v>
      </c>
      <c r="V22" s="90">
        <f>U21-U22</f>
        <v>20030.303030303039</v>
      </c>
      <c r="W22" s="2">
        <v>9.9</v>
      </c>
      <c r="X22">
        <v>3416200</v>
      </c>
    </row>
    <row r="23" spans="1:24" x14ac:dyDescent="0.2">
      <c r="A23" s="2">
        <v>9</v>
      </c>
      <c r="B23" s="1">
        <f t="shared" si="0"/>
        <v>366555.55555555556</v>
      </c>
      <c r="C23" s="90">
        <v>2984000</v>
      </c>
      <c r="D23">
        <f t="shared" si="4"/>
        <v>3299000</v>
      </c>
      <c r="E23">
        <f t="shared" si="1"/>
        <v>3463950</v>
      </c>
      <c r="F23">
        <f t="shared" si="2"/>
        <v>384883.33333333331</v>
      </c>
      <c r="G23">
        <v>340000</v>
      </c>
      <c r="H23">
        <f t="shared" si="3"/>
        <v>0.77272727272727271</v>
      </c>
    </row>
    <row r="24" spans="1:24" x14ac:dyDescent="0.2">
      <c r="A24" s="2">
        <v>9.9</v>
      </c>
      <c r="B24" s="1">
        <f>D24/A24</f>
        <v>345101.01010101009</v>
      </c>
      <c r="C24" s="90">
        <v>3070000</v>
      </c>
      <c r="D24">
        <f t="shared" si="4"/>
        <v>3416500</v>
      </c>
      <c r="E24">
        <f t="shared" si="1"/>
        <v>3587325</v>
      </c>
      <c r="F24">
        <f t="shared" si="2"/>
        <v>362356.06060606061</v>
      </c>
      <c r="G24">
        <v>322400</v>
      </c>
      <c r="H24">
        <f t="shared" si="3"/>
        <v>0.73272727272727278</v>
      </c>
    </row>
    <row r="25" spans="1:24" x14ac:dyDescent="0.2">
      <c r="A25" s="2">
        <v>10</v>
      </c>
      <c r="B25" s="90">
        <f>(2940000*1.05+35000*9.8)/10.1</f>
        <v>339603.96039603959</v>
      </c>
      <c r="C25" s="90"/>
      <c r="E25" s="90">
        <f t="shared" si="1"/>
        <v>3565841.5841584159</v>
      </c>
      <c r="F25">
        <f t="shared" si="2"/>
        <v>356584.15841584158</v>
      </c>
      <c r="Q25" t="s">
        <v>118</v>
      </c>
      <c r="R25">
        <f>SLOPE(U18:U22,Q18:Q22)</f>
        <v>-21872.902631645349</v>
      </c>
    </row>
    <row r="26" spans="1:24" x14ac:dyDescent="0.2">
      <c r="A26" s="2"/>
      <c r="Q26" t="s">
        <v>119</v>
      </c>
      <c r="R26">
        <f>INTERCEPT(U18:U22,Q18:Q22)</f>
        <v>562223.82937859627</v>
      </c>
    </row>
    <row r="29" spans="1:24" x14ac:dyDescent="0.2">
      <c r="A29" t="s">
        <v>14</v>
      </c>
      <c r="B29">
        <v>3.3057851199999999</v>
      </c>
      <c r="C29" t="s">
        <v>15</v>
      </c>
    </row>
    <row r="30" spans="1:24" x14ac:dyDescent="0.2">
      <c r="R30" s="2"/>
    </row>
    <row r="31" spans="1:24" x14ac:dyDescent="0.2">
      <c r="R31" s="2"/>
    </row>
    <row r="33" spans="1:18" x14ac:dyDescent="0.2">
      <c r="C33">
        <v>1</v>
      </c>
      <c r="D33">
        <v>2</v>
      </c>
      <c r="E33">
        <v>3</v>
      </c>
      <c r="F33">
        <v>4</v>
      </c>
      <c r="G33">
        <v>5</v>
      </c>
      <c r="I33" t="s">
        <v>26</v>
      </c>
      <c r="R33" s="2"/>
    </row>
    <row r="34" spans="1:18" x14ac:dyDescent="0.2">
      <c r="B34" t="s">
        <v>16</v>
      </c>
      <c r="C34" t="s">
        <v>17</v>
      </c>
      <c r="D34" t="s">
        <v>18</v>
      </c>
      <c r="E34" t="s">
        <v>19</v>
      </c>
      <c r="F34" t="s">
        <v>20</v>
      </c>
      <c r="G34" t="s">
        <v>21</v>
      </c>
      <c r="I34">
        <v>0</v>
      </c>
      <c r="J34">
        <v>3</v>
      </c>
      <c r="R34" s="2"/>
    </row>
    <row r="35" spans="1:18" x14ac:dyDescent="0.2">
      <c r="A35">
        <v>0</v>
      </c>
      <c r="B35" t="s">
        <v>22</v>
      </c>
      <c r="C35" s="4">
        <v>0.88400000000000001</v>
      </c>
      <c r="D35" s="4">
        <v>0.88400000000000001</v>
      </c>
      <c r="E35" s="4">
        <v>0.88400000000000001</v>
      </c>
      <c r="F35" s="4">
        <v>0.88400000000000001</v>
      </c>
      <c r="G35" s="4">
        <v>0.88400000000000001</v>
      </c>
      <c r="I35">
        <v>15</v>
      </c>
      <c r="J35">
        <v>4</v>
      </c>
      <c r="R35" s="2"/>
    </row>
    <row r="36" spans="1:18" x14ac:dyDescent="0.2">
      <c r="A36">
        <v>10</v>
      </c>
      <c r="B36" t="s">
        <v>23</v>
      </c>
      <c r="C36" s="4">
        <v>0.94299999999999995</v>
      </c>
      <c r="D36" s="4">
        <v>0.94099999999999995</v>
      </c>
      <c r="E36" s="4">
        <v>0.93400000000000005</v>
      </c>
      <c r="F36" s="4">
        <v>0.92300000000000004</v>
      </c>
      <c r="G36" s="4">
        <v>0.876</v>
      </c>
      <c r="I36">
        <v>30</v>
      </c>
      <c r="J36">
        <v>5</v>
      </c>
      <c r="R36" s="2"/>
    </row>
    <row r="37" spans="1:18" x14ac:dyDescent="0.2">
      <c r="A37">
        <v>20</v>
      </c>
      <c r="B37" t="s">
        <v>24</v>
      </c>
      <c r="C37" s="4">
        <v>0.98199999999999998</v>
      </c>
      <c r="D37" s="4">
        <v>0.97799999999999998</v>
      </c>
      <c r="E37" s="4">
        <v>0.96599999999999997</v>
      </c>
      <c r="F37" s="4">
        <v>0.94599999999999995</v>
      </c>
      <c r="G37" s="4">
        <v>0.85799999999999998</v>
      </c>
      <c r="I37">
        <v>45</v>
      </c>
      <c r="J37">
        <v>6</v>
      </c>
      <c r="R37" s="2"/>
    </row>
    <row r="38" spans="1:18" x14ac:dyDescent="0.2">
      <c r="A38">
        <v>30</v>
      </c>
      <c r="B38" t="s">
        <v>19</v>
      </c>
      <c r="C38" s="3">
        <v>1</v>
      </c>
      <c r="D38" s="4">
        <v>0.996</v>
      </c>
      <c r="E38" s="4">
        <v>0.97799999999999998</v>
      </c>
      <c r="F38" s="4">
        <v>0.95099999999999996</v>
      </c>
      <c r="G38" s="4">
        <v>0.82799999999999996</v>
      </c>
      <c r="I38">
        <v>90</v>
      </c>
      <c r="J38">
        <v>7</v>
      </c>
    </row>
    <row r="39" spans="1:18" x14ac:dyDescent="0.2">
      <c r="A39">
        <v>40</v>
      </c>
      <c r="B39" t="s">
        <v>25</v>
      </c>
      <c r="C39" s="4">
        <v>0.997</v>
      </c>
      <c r="D39" s="4">
        <v>0.99</v>
      </c>
      <c r="E39" s="4">
        <v>0.97</v>
      </c>
      <c r="F39" s="4">
        <v>0.93600000000000005</v>
      </c>
      <c r="G39" s="4">
        <v>0.78900000000000003</v>
      </c>
    </row>
    <row r="41" spans="1:18" x14ac:dyDescent="0.2">
      <c r="D41">
        <v>0</v>
      </c>
      <c r="E41">
        <v>15</v>
      </c>
      <c r="F41">
        <v>30</v>
      </c>
      <c r="G41">
        <v>45</v>
      </c>
      <c r="H41">
        <v>90</v>
      </c>
    </row>
    <row r="42" spans="1:18" x14ac:dyDescent="0.2">
      <c r="C42" t="s">
        <v>26</v>
      </c>
      <c r="D42">
        <v>1</v>
      </c>
      <c r="E42">
        <v>2</v>
      </c>
      <c r="F42">
        <v>3</v>
      </c>
      <c r="G42">
        <v>4</v>
      </c>
      <c r="H42">
        <v>5</v>
      </c>
      <c r="M42" t="s">
        <v>31</v>
      </c>
      <c r="N42" t="s">
        <v>32</v>
      </c>
    </row>
    <row r="43" spans="1:18" x14ac:dyDescent="0.2">
      <c r="M43" s="6">
        <v>4</v>
      </c>
      <c r="N43">
        <v>1</v>
      </c>
    </row>
    <row r="44" spans="1:18" x14ac:dyDescent="0.2">
      <c r="B44">
        <v>1</v>
      </c>
      <c r="C44">
        <v>0</v>
      </c>
      <c r="D44" s="4">
        <v>0.88400000000000001</v>
      </c>
      <c r="E44" s="4">
        <v>0.88400000000000001</v>
      </c>
      <c r="F44" s="4">
        <v>0.88400000000000001</v>
      </c>
      <c r="G44" s="4">
        <v>0.88400000000000001</v>
      </c>
      <c r="H44" s="4">
        <v>0.88400000000000001</v>
      </c>
      <c r="M44" s="6">
        <v>5</v>
      </c>
      <c r="N44">
        <v>0.95454545454545459</v>
      </c>
    </row>
    <row r="45" spans="1:18" x14ac:dyDescent="0.2">
      <c r="B45">
        <v>2</v>
      </c>
      <c r="C45">
        <v>10</v>
      </c>
      <c r="D45" s="4">
        <v>0.94299999999999995</v>
      </c>
      <c r="E45" s="4">
        <v>0.94099999999999995</v>
      </c>
      <c r="F45" s="4">
        <v>0.93400000000000005</v>
      </c>
      <c r="G45" s="4">
        <v>0.92300000000000004</v>
      </c>
      <c r="H45" s="4">
        <v>0.876</v>
      </c>
      <c r="M45" s="6">
        <v>6</v>
      </c>
      <c r="N45">
        <v>0.90909090909090906</v>
      </c>
    </row>
    <row r="46" spans="1:18" x14ac:dyDescent="0.2">
      <c r="B46">
        <v>3</v>
      </c>
      <c r="C46">
        <v>20</v>
      </c>
      <c r="D46" s="4">
        <v>0.98199999999999998</v>
      </c>
      <c r="E46" s="4">
        <v>0.97799999999999998</v>
      </c>
      <c r="F46" s="4">
        <v>0.96599999999999997</v>
      </c>
      <c r="G46" s="4">
        <v>0.94599999999999995</v>
      </c>
      <c r="H46" s="4">
        <v>0.85799999999999998</v>
      </c>
      <c r="M46" s="6">
        <v>7</v>
      </c>
      <c r="N46">
        <v>0.86363636363636365</v>
      </c>
    </row>
    <row r="47" spans="1:18" x14ac:dyDescent="0.2">
      <c r="B47">
        <v>4</v>
      </c>
      <c r="C47">
        <v>30</v>
      </c>
      <c r="D47" s="3">
        <v>1</v>
      </c>
      <c r="E47" s="4">
        <v>0.996</v>
      </c>
      <c r="F47" s="4">
        <v>0.97799999999999998</v>
      </c>
      <c r="G47" s="4">
        <v>0.95099999999999996</v>
      </c>
      <c r="H47" s="4">
        <v>0.82799999999999996</v>
      </c>
      <c r="M47" s="6">
        <v>8</v>
      </c>
      <c r="N47">
        <v>0.81818181818181823</v>
      </c>
    </row>
    <row r="48" spans="1:18" x14ac:dyDescent="0.2">
      <c r="B48">
        <v>5</v>
      </c>
      <c r="C48">
        <v>40</v>
      </c>
      <c r="D48" s="4">
        <v>0.997</v>
      </c>
      <c r="E48" s="4">
        <v>0.99</v>
      </c>
      <c r="F48" s="4">
        <v>0.97</v>
      </c>
      <c r="G48" s="4">
        <v>0.93600000000000005</v>
      </c>
      <c r="H48" s="4">
        <v>0.78900000000000003</v>
      </c>
      <c r="M48" s="6">
        <v>9</v>
      </c>
      <c r="N48">
        <v>0.77272727272727271</v>
      </c>
    </row>
    <row r="49" spans="2:14" x14ac:dyDescent="0.2">
      <c r="M49" s="6">
        <v>9.8800000000000008</v>
      </c>
      <c r="N49">
        <v>0.73272727272727278</v>
      </c>
    </row>
    <row r="52" spans="2:14" x14ac:dyDescent="0.2">
      <c r="C52">
        <v>30</v>
      </c>
      <c r="D52">
        <v>0</v>
      </c>
    </row>
    <row r="53" spans="2:14" x14ac:dyDescent="0.2">
      <c r="D53">
        <f>C52-D52</f>
        <v>30</v>
      </c>
      <c r="E53" t="s">
        <v>27</v>
      </c>
    </row>
    <row r="54" spans="2:14" x14ac:dyDescent="0.2">
      <c r="D54">
        <f>D53*PI()/180</f>
        <v>0.52359877559829882</v>
      </c>
      <c r="E54" t="s">
        <v>28</v>
      </c>
    </row>
    <row r="55" spans="2:14" x14ac:dyDescent="0.2">
      <c r="C55" t="s">
        <v>29</v>
      </c>
      <c r="D55">
        <f>SIN(D54)</f>
        <v>0.49999999999999994</v>
      </c>
    </row>
    <row r="56" spans="2:14" x14ac:dyDescent="0.2">
      <c r="C56" t="s">
        <v>30</v>
      </c>
      <c r="D56">
        <f>COS(D54)</f>
        <v>0.86602540378443871</v>
      </c>
    </row>
    <row r="58" spans="2:14" x14ac:dyDescent="0.2">
      <c r="B58">
        <v>1</v>
      </c>
      <c r="C58">
        <v>0</v>
      </c>
      <c r="D58">
        <f>COS((30-$C58)*PI()/180)</f>
        <v>0.86602540378443871</v>
      </c>
    </row>
    <row r="59" spans="2:14" x14ac:dyDescent="0.2">
      <c r="B59">
        <v>2</v>
      </c>
      <c r="C59">
        <v>10</v>
      </c>
      <c r="D59">
        <f>COS((30-$C59)*PI()/180)</f>
        <v>0.93969262078590843</v>
      </c>
    </row>
    <row r="60" spans="2:14" x14ac:dyDescent="0.2">
      <c r="B60">
        <v>3</v>
      </c>
      <c r="C60">
        <v>20</v>
      </c>
      <c r="D60">
        <f>COS((30-$C60)*PI()/180)</f>
        <v>0.98480775301220802</v>
      </c>
    </row>
    <row r="61" spans="2:14" x14ac:dyDescent="0.2">
      <c r="B61">
        <v>4</v>
      </c>
      <c r="C61">
        <v>30</v>
      </c>
      <c r="D61">
        <f>COS((30-$C61)*PI()/180)</f>
        <v>1</v>
      </c>
    </row>
    <row r="62" spans="2:14" x14ac:dyDescent="0.2">
      <c r="B62">
        <v>5</v>
      </c>
      <c r="C62">
        <v>40</v>
      </c>
      <c r="D62">
        <f>COS((30-$C62)*PI()/180)</f>
        <v>0.98480775301220802</v>
      </c>
    </row>
    <row r="66" spans="1:4" x14ac:dyDescent="0.2">
      <c r="A66" t="s">
        <v>99</v>
      </c>
      <c r="B66" t="s">
        <v>100</v>
      </c>
      <c r="C66">
        <v>4.8000000000000001E-2</v>
      </c>
      <c r="D66" t="s">
        <v>101</v>
      </c>
    </row>
    <row r="67" spans="1:4" x14ac:dyDescent="0.2">
      <c r="B67" t="s">
        <v>102</v>
      </c>
      <c r="C67">
        <v>0.46100000000000002</v>
      </c>
      <c r="D67" t="s">
        <v>101</v>
      </c>
    </row>
    <row r="81" spans="1:11" x14ac:dyDescent="0.2">
      <c r="A81" s="7"/>
      <c r="B81" s="7"/>
      <c r="C81" s="7"/>
      <c r="D81" s="7" t="s">
        <v>36</v>
      </c>
      <c r="E81" s="7" t="s">
        <v>35</v>
      </c>
      <c r="F81" s="7"/>
      <c r="G81" s="7"/>
      <c r="H81" s="7" t="s">
        <v>37</v>
      </c>
      <c r="I81" s="7"/>
    </row>
    <row r="82" spans="1:11" x14ac:dyDescent="0.2">
      <c r="A82" s="7" t="s">
        <v>38</v>
      </c>
      <c r="B82" s="7">
        <v>1</v>
      </c>
      <c r="C82" s="7" t="s">
        <v>39</v>
      </c>
      <c r="D82" s="8">
        <v>0.02</v>
      </c>
      <c r="E82" s="10">
        <v>8.7500000000000008E-3</v>
      </c>
      <c r="F82" s="7"/>
      <c r="G82" s="7"/>
      <c r="H82" s="7" t="s">
        <v>40</v>
      </c>
      <c r="I82" s="7">
        <v>3</v>
      </c>
    </row>
    <row r="83" spans="1:11" x14ac:dyDescent="0.2">
      <c r="A83" s="7"/>
      <c r="B83" s="7">
        <v>2</v>
      </c>
      <c r="C83" s="7" t="s">
        <v>41</v>
      </c>
      <c r="D83" s="8">
        <v>0.02</v>
      </c>
      <c r="E83" s="9">
        <v>1.2E-2</v>
      </c>
      <c r="F83" s="7"/>
      <c r="G83" s="7"/>
      <c r="H83" s="7" t="s">
        <v>34</v>
      </c>
      <c r="I83" s="7" t="b">
        <v>0</v>
      </c>
      <c r="J83">
        <v>2200000</v>
      </c>
    </row>
    <row r="84" spans="1:11" x14ac:dyDescent="0.2">
      <c r="A84" s="7"/>
      <c r="B84" s="7">
        <v>3</v>
      </c>
      <c r="C84" s="7" t="s">
        <v>42</v>
      </c>
      <c r="D84" s="8">
        <v>0</v>
      </c>
      <c r="E84" s="9">
        <v>0.01</v>
      </c>
      <c r="F84" s="7"/>
      <c r="G84" s="7"/>
      <c r="H84" s="79" t="s">
        <v>88</v>
      </c>
      <c r="I84" s="7">
        <v>1</v>
      </c>
      <c r="J84">
        <f>VLOOKUP(I84,$B$89:$E$90,3,FALSE)</f>
        <v>5</v>
      </c>
      <c r="K84">
        <f>VLOOKUP(I84,$B$89:$E$90,4,FALSE)</f>
        <v>0.5</v>
      </c>
    </row>
    <row r="85" spans="1:11" x14ac:dyDescent="0.2">
      <c r="A85" s="7"/>
      <c r="B85" s="7">
        <v>4</v>
      </c>
      <c r="C85" s="7" t="s">
        <v>43</v>
      </c>
      <c r="D85" s="8">
        <v>0</v>
      </c>
      <c r="E85" s="9">
        <v>0</v>
      </c>
      <c r="F85" s="7"/>
      <c r="G85" s="7"/>
      <c r="H85" s="92" t="s">
        <v>121</v>
      </c>
      <c r="I85" s="7" t="b">
        <f>IF(シミュレーション設定!D8&gt;=10,TRUE,FALSE)</f>
        <v>1</v>
      </c>
    </row>
    <row r="86" spans="1:11" x14ac:dyDescent="0.2">
      <c r="B86" s="11">
        <v>5</v>
      </c>
      <c r="C86" s="11" t="s">
        <v>87</v>
      </c>
      <c r="D86" s="12">
        <v>0.02</v>
      </c>
      <c r="E86" s="13" t="e">
        <f>シミュレーション設定!#REF!</f>
        <v>#REF!</v>
      </c>
      <c r="H86" s="119" t="s">
        <v>162</v>
      </c>
      <c r="I86">
        <f>(SLOPE(価格推定!C5:C46,価格推定!B5:B46)*シミュレーション設定!D8+INTERCEPT(価格推定!C5:C46,価格推定!B5:B46))*シミュレーション設定!D8*10000</f>
        <v>9440993.0535444785</v>
      </c>
    </row>
    <row r="87" spans="1:11" x14ac:dyDescent="0.2">
      <c r="H87" s="119" t="s">
        <v>163</v>
      </c>
      <c r="I87">
        <f>IF(I83=TRUE,J83*シミュレーション設定!D9,0)+I86</f>
        <v>9440993.0535444785</v>
      </c>
    </row>
    <row r="88" spans="1:11" x14ac:dyDescent="0.2">
      <c r="A88" t="s">
        <v>88</v>
      </c>
      <c r="D88" t="s">
        <v>90</v>
      </c>
      <c r="E88" t="s">
        <v>91</v>
      </c>
    </row>
    <row r="89" spans="1:11" x14ac:dyDescent="0.2">
      <c r="B89">
        <v>1</v>
      </c>
      <c r="C89" t="s">
        <v>89</v>
      </c>
      <c r="D89" s="77">
        <v>5</v>
      </c>
      <c r="E89" s="78">
        <v>0.5</v>
      </c>
    </row>
    <row r="90" spans="1:11" x14ac:dyDescent="0.2">
      <c r="B90">
        <v>2</v>
      </c>
      <c r="C90" t="s">
        <v>92</v>
      </c>
      <c r="D90">
        <v>3</v>
      </c>
      <c r="E90" s="78">
        <f>2/3</f>
        <v>0.66666666666666663</v>
      </c>
    </row>
    <row r="91" spans="1:11" x14ac:dyDescent="0.2">
      <c r="A91" t="s">
        <v>127</v>
      </c>
    </row>
    <row r="92" spans="1:11" x14ac:dyDescent="0.2">
      <c r="A92" t="s">
        <v>128</v>
      </c>
    </row>
    <row r="94" spans="1:11" x14ac:dyDescent="0.2">
      <c r="B94">
        <v>0</v>
      </c>
      <c r="C94" s="3">
        <v>0.05</v>
      </c>
      <c r="D94">
        <v>0</v>
      </c>
    </row>
    <row r="95" spans="1:11" x14ac:dyDescent="0.2">
      <c r="B95">
        <v>195</v>
      </c>
      <c r="C95" s="3">
        <v>0.1</v>
      </c>
      <c r="D95">
        <v>97500</v>
      </c>
    </row>
    <row r="96" spans="1:11" x14ac:dyDescent="0.2">
      <c r="B96">
        <v>330</v>
      </c>
      <c r="C96" s="3">
        <v>0.2</v>
      </c>
      <c r="D96">
        <v>427500</v>
      </c>
    </row>
    <row r="97" spans="2:4" x14ac:dyDescent="0.2">
      <c r="B97">
        <v>695</v>
      </c>
      <c r="C97" s="3">
        <v>0.23</v>
      </c>
      <c r="D97">
        <v>636000</v>
      </c>
    </row>
    <row r="98" spans="2:4" x14ac:dyDescent="0.2">
      <c r="B98">
        <v>900</v>
      </c>
      <c r="C98" s="3">
        <v>0.33</v>
      </c>
      <c r="D98">
        <v>1536000</v>
      </c>
    </row>
    <row r="99" spans="2:4" x14ac:dyDescent="0.2">
      <c r="B99">
        <v>1800</v>
      </c>
      <c r="C99" s="3">
        <v>0.4</v>
      </c>
      <c r="D99">
        <v>2796000</v>
      </c>
    </row>
    <row r="100" spans="2:4" x14ac:dyDescent="0.2">
      <c r="B100" s="9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2"/>
  <sheetViews>
    <sheetView workbookViewId="0">
      <selection activeCell="B7" sqref="B7"/>
    </sheetView>
  </sheetViews>
  <sheetFormatPr defaultRowHeight="13" x14ac:dyDescent="0.2"/>
  <cols>
    <col min="2" max="2" width="58.6328125" bestFit="1" customWidth="1"/>
  </cols>
  <sheetData>
    <row r="1" spans="1:2" x14ac:dyDescent="0.2">
      <c r="A1" t="s">
        <v>94</v>
      </c>
      <c r="B1" t="s">
        <v>95</v>
      </c>
    </row>
    <row r="2" spans="1:2" x14ac:dyDescent="0.2">
      <c r="A2" s="84">
        <v>0.1</v>
      </c>
      <c r="B2" t="s">
        <v>96</v>
      </c>
    </row>
    <row r="3" spans="1:2" x14ac:dyDescent="0.2">
      <c r="A3" s="84">
        <v>0.2</v>
      </c>
      <c r="B3" t="s">
        <v>97</v>
      </c>
    </row>
    <row r="4" spans="1:2" x14ac:dyDescent="0.2">
      <c r="A4" s="84">
        <v>0.3</v>
      </c>
      <c r="B4" t="s">
        <v>98</v>
      </c>
    </row>
    <row r="5" spans="1:2" x14ac:dyDescent="0.2">
      <c r="A5" s="84">
        <v>0.5</v>
      </c>
      <c r="B5" t="s">
        <v>161</v>
      </c>
    </row>
    <row r="6" spans="1:2" x14ac:dyDescent="0.2">
      <c r="A6" s="84">
        <v>0.6</v>
      </c>
      <c r="B6" t="s">
        <v>188</v>
      </c>
    </row>
    <row r="7" spans="1:2" x14ac:dyDescent="0.2">
      <c r="A7" s="84"/>
    </row>
    <row r="8" spans="1:2" x14ac:dyDescent="0.2">
      <c r="A8" s="84"/>
    </row>
    <row r="9" spans="1:2" x14ac:dyDescent="0.2">
      <c r="A9" s="84"/>
    </row>
    <row r="10" spans="1:2" x14ac:dyDescent="0.2">
      <c r="A10" s="84"/>
    </row>
    <row r="11" spans="1:2" x14ac:dyDescent="0.2">
      <c r="A11" s="84"/>
    </row>
    <row r="12" spans="1:2" x14ac:dyDescent="0.2">
      <c r="A12" s="84"/>
    </row>
    <row r="13" spans="1:2" x14ac:dyDescent="0.2">
      <c r="A13" s="84"/>
    </row>
    <row r="14" spans="1:2" x14ac:dyDescent="0.2">
      <c r="A14" s="84"/>
    </row>
    <row r="15" spans="1:2" x14ac:dyDescent="0.2">
      <c r="A15" s="84"/>
    </row>
    <row r="16" spans="1:2" x14ac:dyDescent="0.2">
      <c r="A16" s="84"/>
    </row>
    <row r="17" spans="1:1" x14ac:dyDescent="0.2">
      <c r="A17" s="84"/>
    </row>
    <row r="18" spans="1:1" x14ac:dyDescent="0.2">
      <c r="A18" s="84"/>
    </row>
    <row r="19" spans="1:1" x14ac:dyDescent="0.2">
      <c r="A19" s="84"/>
    </row>
    <row r="20" spans="1:1" x14ac:dyDescent="0.2">
      <c r="A20" s="84"/>
    </row>
    <row r="21" spans="1:1" x14ac:dyDescent="0.2">
      <c r="A21" s="84"/>
    </row>
    <row r="22" spans="1:1" x14ac:dyDescent="0.2">
      <c r="A22" s="84"/>
    </row>
    <row r="23" spans="1:1" x14ac:dyDescent="0.2">
      <c r="A23" s="84"/>
    </row>
    <row r="24" spans="1:1" x14ac:dyDescent="0.2">
      <c r="A24" s="84"/>
    </row>
    <row r="25" spans="1:1" x14ac:dyDescent="0.2">
      <c r="A25" s="84"/>
    </row>
    <row r="26" spans="1:1" x14ac:dyDescent="0.2">
      <c r="A26" s="84"/>
    </row>
    <row r="27" spans="1:1" x14ac:dyDescent="0.2">
      <c r="A27" s="84"/>
    </row>
    <row r="28" spans="1:1" x14ac:dyDescent="0.2">
      <c r="A28" s="84"/>
    </row>
    <row r="29" spans="1:1" x14ac:dyDescent="0.2">
      <c r="A29" s="84"/>
    </row>
    <row r="30" spans="1:1" x14ac:dyDescent="0.2">
      <c r="A30" s="84"/>
    </row>
    <row r="31" spans="1:1" x14ac:dyDescent="0.2">
      <c r="A31" s="84"/>
    </row>
    <row r="32" spans="1:1" x14ac:dyDescent="0.2">
      <c r="A32" s="84"/>
    </row>
    <row r="33" spans="1:1" x14ac:dyDescent="0.2">
      <c r="A33" s="84"/>
    </row>
    <row r="34" spans="1:1" x14ac:dyDescent="0.2">
      <c r="A34" s="84"/>
    </row>
    <row r="35" spans="1:1" x14ac:dyDescent="0.2">
      <c r="A35" s="84"/>
    </row>
    <row r="36" spans="1:1" x14ac:dyDescent="0.2">
      <c r="A36" s="84"/>
    </row>
    <row r="37" spans="1:1" x14ac:dyDescent="0.2">
      <c r="A37" s="84"/>
    </row>
    <row r="38" spans="1:1" x14ac:dyDescent="0.2">
      <c r="A38" s="84"/>
    </row>
    <row r="39" spans="1:1" x14ac:dyDescent="0.2">
      <c r="A39" s="84"/>
    </row>
    <row r="40" spans="1:1" x14ac:dyDescent="0.2">
      <c r="A40" s="84"/>
    </row>
    <row r="41" spans="1:1" x14ac:dyDescent="0.2">
      <c r="A41" s="84"/>
    </row>
    <row r="42" spans="1:1" x14ac:dyDescent="0.2">
      <c r="A42" s="84"/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78"/>
  <sheetViews>
    <sheetView workbookViewId="0">
      <selection activeCell="J18" sqref="J18"/>
    </sheetView>
  </sheetViews>
  <sheetFormatPr defaultRowHeight="13" x14ac:dyDescent="0.2"/>
  <sheetData>
    <row r="1" spans="1:2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U1" s="17"/>
    </row>
    <row r="2" spans="1:21" ht="15.5" x14ac:dyDescent="0.2">
      <c r="A2" s="9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U2" s="17"/>
    </row>
    <row r="3" spans="1:21" ht="15.5" x14ac:dyDescent="0.2">
      <c r="A3" s="98"/>
      <c r="B3" s="17"/>
      <c r="C3" s="17"/>
      <c r="D3" s="100"/>
      <c r="E3" s="17"/>
      <c r="F3" s="17"/>
      <c r="G3" s="97">
        <v>2</v>
      </c>
      <c r="H3" s="17">
        <v>3</v>
      </c>
      <c r="I3" s="17">
        <v>4</v>
      </c>
      <c r="J3" s="17">
        <v>5</v>
      </c>
      <c r="K3" s="17">
        <v>6</v>
      </c>
      <c r="L3" s="17" t="s">
        <v>154</v>
      </c>
      <c r="M3" s="17">
        <v>7</v>
      </c>
      <c r="N3" s="17"/>
      <c r="O3" s="17"/>
      <c r="P3" s="17"/>
      <c r="Q3" s="17"/>
      <c r="U3" s="17"/>
    </row>
    <row r="4" spans="1:21" ht="15.5" x14ac:dyDescent="0.2">
      <c r="A4" s="98"/>
      <c r="B4" s="17"/>
      <c r="C4" s="17" t="s">
        <v>129</v>
      </c>
      <c r="D4" s="17" t="s">
        <v>133</v>
      </c>
      <c r="E4" s="17" t="s">
        <v>132</v>
      </c>
      <c r="F4" s="17" t="s">
        <v>134</v>
      </c>
      <c r="G4" s="17" t="s">
        <v>142</v>
      </c>
      <c r="H4" s="17" t="s">
        <v>129</v>
      </c>
      <c r="I4" s="17" t="s">
        <v>130</v>
      </c>
      <c r="J4" s="17" t="s">
        <v>131</v>
      </c>
      <c r="K4" s="17" t="s">
        <v>153</v>
      </c>
      <c r="L4" s="17" t="s">
        <v>155</v>
      </c>
      <c r="M4" s="17" t="s">
        <v>156</v>
      </c>
      <c r="N4" s="17" t="s">
        <v>152</v>
      </c>
      <c r="O4" s="17" t="s">
        <v>151</v>
      </c>
      <c r="P4" s="17" t="s">
        <v>158</v>
      </c>
      <c r="Q4" s="17"/>
      <c r="U4" s="17"/>
    </row>
    <row r="5" spans="1:21" ht="15.5" x14ac:dyDescent="0.2">
      <c r="A5" s="111"/>
      <c r="B5" s="17" t="s">
        <v>144</v>
      </c>
      <c r="C5" s="17">
        <v>23.8</v>
      </c>
      <c r="D5" s="106">
        <v>1.5</v>
      </c>
      <c r="E5" s="17">
        <v>0</v>
      </c>
      <c r="F5" s="17">
        <v>1</v>
      </c>
      <c r="G5" s="17">
        <v>1</v>
      </c>
      <c r="H5" s="17">
        <f>C5+F5*5.6</f>
        <v>29.4</v>
      </c>
      <c r="I5" s="108">
        <v>27051</v>
      </c>
      <c r="J5" s="17">
        <v>1124.2</v>
      </c>
      <c r="K5" s="17"/>
      <c r="L5" s="108">
        <v>11</v>
      </c>
      <c r="M5" s="17">
        <v>1</v>
      </c>
      <c r="N5" s="17">
        <v>885.1</v>
      </c>
      <c r="O5" s="17">
        <f>IF(C5="","",(SLOPE(価格推定!$C$5:$C$46,価格推定!$B$5:$B$46)*C5+INTERCEPT(価格推定!$C$5:$C$46,価格推定!$B$5:$B$46))*C5)</f>
        <v>901.17272866763278</v>
      </c>
      <c r="P5" s="17">
        <f>IF(F5=0,"",(J5-O5)/F5)</f>
        <v>223.02727133236726</v>
      </c>
      <c r="Q5" s="17"/>
      <c r="U5" s="17"/>
    </row>
    <row r="6" spans="1:21" ht="15.5" x14ac:dyDescent="0.2">
      <c r="A6" s="98"/>
      <c r="B6" s="17" t="s">
        <v>136</v>
      </c>
      <c r="C6" s="17">
        <v>13.2</v>
      </c>
      <c r="D6" s="106">
        <v>3.5</v>
      </c>
      <c r="E6" s="17">
        <v>0</v>
      </c>
      <c r="F6" s="17">
        <v>0</v>
      </c>
      <c r="G6" s="17">
        <v>0</v>
      </c>
      <c r="H6" s="17">
        <f>C6+F6*5.6</f>
        <v>13.2</v>
      </c>
      <c r="I6" s="108">
        <v>12750</v>
      </c>
      <c r="J6" s="85">
        <v>511</v>
      </c>
      <c r="K6" s="17">
        <v>44684</v>
      </c>
      <c r="L6" s="108">
        <v>10</v>
      </c>
      <c r="M6" s="108">
        <v>8</v>
      </c>
      <c r="N6" s="17">
        <v>437</v>
      </c>
      <c r="O6" s="17">
        <f>IF(C6="","",(SLOPE(価格推定!$C$5:$C$46,価格推定!$B$5:$B$46)*C6+INTERCEPT(価格推定!$C$5:$C$46,価格推定!$B$5:$B$46))*C6)</f>
        <v>511.52000709823136</v>
      </c>
      <c r="P6" s="17" t="str">
        <f t="shared" ref="P6:P69" si="0">IF(F6=0,"",(J6-O6)/F6)</f>
        <v/>
      </c>
      <c r="Q6" s="17"/>
      <c r="U6" s="17"/>
    </row>
    <row r="7" spans="1:21" ht="15.5" x14ac:dyDescent="0.2">
      <c r="A7" s="101"/>
      <c r="B7" s="17" t="s">
        <v>135</v>
      </c>
      <c r="C7" s="17">
        <v>16.8</v>
      </c>
      <c r="D7" s="106">
        <v>3.5</v>
      </c>
      <c r="E7" s="17">
        <v>0</v>
      </c>
      <c r="F7" s="17">
        <v>0</v>
      </c>
      <c r="G7" s="17">
        <v>0</v>
      </c>
      <c r="H7" s="17">
        <f>C7+F7*5.6</f>
        <v>16.8</v>
      </c>
      <c r="I7" s="108">
        <v>16230</v>
      </c>
      <c r="J7" s="17">
        <v>643.70000000000005</v>
      </c>
      <c r="K7" s="17">
        <v>56527</v>
      </c>
      <c r="L7" s="108">
        <v>10</v>
      </c>
      <c r="M7" s="17">
        <v>6</v>
      </c>
      <c r="N7" s="17">
        <v>563.70000000000005</v>
      </c>
      <c r="O7" s="17">
        <f>IF(C7="","",(SLOPE(価格推定!$C$5:$C$46,価格推定!$B$5:$B$46)*C7+INTERCEPT(価格推定!$C$5:$C$46,価格推定!$B$5:$B$46))*C7)</f>
        <v>645.96388481914676</v>
      </c>
      <c r="P7" s="17" t="str">
        <f t="shared" si="0"/>
        <v/>
      </c>
      <c r="Q7" s="17"/>
      <c r="U7" s="17"/>
    </row>
    <row r="8" spans="1:21" ht="15.5" x14ac:dyDescent="0.2">
      <c r="A8" s="98"/>
      <c r="B8" s="17" t="s">
        <v>137</v>
      </c>
      <c r="C8" s="17">
        <v>10.8</v>
      </c>
      <c r="D8" s="106">
        <v>1.5</v>
      </c>
      <c r="E8" s="17">
        <v>0</v>
      </c>
      <c r="F8" s="17">
        <v>0</v>
      </c>
      <c r="G8" s="17">
        <v>1</v>
      </c>
      <c r="H8" s="17">
        <f>C8+F8*5.6</f>
        <v>10.8</v>
      </c>
      <c r="I8" s="108">
        <v>9226</v>
      </c>
      <c r="J8" s="17">
        <v>432.2</v>
      </c>
      <c r="K8" s="17">
        <v>37162</v>
      </c>
      <c r="L8" s="108">
        <v>12</v>
      </c>
      <c r="M8" s="17">
        <v>5</v>
      </c>
      <c r="N8" s="17">
        <v>260.10000000000002</v>
      </c>
      <c r="O8" s="17">
        <f>IF(C8="","",(SLOPE(価格推定!$C$5:$C$46,価格推定!$B$5:$B$46)*C8+INTERCEPT(価格推定!$C$5:$C$46,価格推定!$B$5:$B$46))*C8)</f>
        <v>420.68561748418767</v>
      </c>
      <c r="P8" s="17" t="str">
        <f t="shared" si="0"/>
        <v/>
      </c>
      <c r="Q8" s="17"/>
      <c r="U8" s="17"/>
    </row>
    <row r="9" spans="1:21" ht="15.5" x14ac:dyDescent="0.2">
      <c r="A9" s="98"/>
      <c r="B9" s="17" t="s">
        <v>140</v>
      </c>
      <c r="C9" s="17">
        <v>19.600000000000001</v>
      </c>
      <c r="D9" s="109">
        <v>1.5</v>
      </c>
      <c r="E9" s="17">
        <v>0</v>
      </c>
      <c r="F9" s="17">
        <v>0</v>
      </c>
      <c r="G9" s="17">
        <v>1</v>
      </c>
      <c r="H9" s="17">
        <f>C9+F9*5.6</f>
        <v>19.600000000000001</v>
      </c>
      <c r="I9" s="101">
        <v>17066</v>
      </c>
      <c r="J9" s="17">
        <v>756.8</v>
      </c>
      <c r="K9" s="17">
        <v>66468</v>
      </c>
      <c r="L9" s="108">
        <v>11</v>
      </c>
      <c r="M9" s="17">
        <v>11</v>
      </c>
      <c r="N9" s="17">
        <v>508.3</v>
      </c>
      <c r="O9" s="17">
        <f>IF(C9="","",(SLOPE(価格推定!$C$5:$C$46,価格推定!$B$5:$B$46)*C9+INTERCEPT(価格推定!$C$5:$C$46,価格推定!$B$5:$B$46))*C9)</f>
        <v>749.03161822862296</v>
      </c>
      <c r="P9" s="17" t="str">
        <f t="shared" si="0"/>
        <v/>
      </c>
      <c r="Q9" s="17"/>
      <c r="U9" s="17"/>
    </row>
    <row r="10" spans="1:21" ht="15.5" x14ac:dyDescent="0.2">
      <c r="A10" s="98"/>
      <c r="B10" s="17" t="s">
        <v>141</v>
      </c>
      <c r="C10" s="17">
        <v>12</v>
      </c>
      <c r="D10" s="106">
        <v>1.5</v>
      </c>
      <c r="E10" s="17">
        <v>0</v>
      </c>
      <c r="F10" s="17">
        <v>0</v>
      </c>
      <c r="G10" s="17">
        <v>1</v>
      </c>
      <c r="H10" s="17">
        <v>12</v>
      </c>
      <c r="I10" s="101">
        <v>10242</v>
      </c>
      <c r="J10" s="17">
        <v>423.2</v>
      </c>
      <c r="K10" s="17">
        <v>37162</v>
      </c>
      <c r="L10" s="108">
        <v>11</v>
      </c>
      <c r="M10" s="17">
        <v>0</v>
      </c>
      <c r="N10" s="17">
        <v>436.4</v>
      </c>
      <c r="O10" s="17">
        <f>IF(C10="","",(SLOPE(価格推定!$C$5:$C$46,価格推定!$B$5:$B$46)*C10+INTERCEPT(価格推定!$C$5:$C$46,価格推定!$B$5:$B$46))*C10)</f>
        <v>466.2233260712195</v>
      </c>
      <c r="P10" s="17" t="str">
        <f t="shared" si="0"/>
        <v/>
      </c>
      <c r="Q10" s="17"/>
      <c r="U10" s="17"/>
    </row>
    <row r="11" spans="1:21" ht="15.5" x14ac:dyDescent="0.2">
      <c r="A11" s="17"/>
      <c r="B11" s="17" t="s">
        <v>146</v>
      </c>
      <c r="C11" s="17">
        <v>22.8</v>
      </c>
      <c r="D11" s="106">
        <v>3.5</v>
      </c>
      <c r="E11" s="17">
        <v>0</v>
      </c>
      <c r="F11" s="17">
        <v>0</v>
      </c>
      <c r="G11" s="17">
        <v>0</v>
      </c>
      <c r="H11" s="17">
        <f t="shared" ref="H11:H18" si="1">C11+F11*5.6</f>
        <v>22.8</v>
      </c>
      <c r="I11" s="101">
        <v>22222</v>
      </c>
      <c r="J11" s="17">
        <v>866.3</v>
      </c>
      <c r="K11" s="17">
        <v>76076</v>
      </c>
      <c r="L11" s="108">
        <v>10</v>
      </c>
      <c r="M11" s="17">
        <v>4</v>
      </c>
      <c r="N11" s="17">
        <v>787.4</v>
      </c>
      <c r="O11" s="17">
        <f>IF(C11="","",(SLOPE(価格推定!$C$5:$C$46,価格推定!$B$5:$B$46)*C11+INTERCEPT(価格推定!$C$5:$C$46,価格推定!$B$5:$B$46))*C11)</f>
        <v>865.2164631536051</v>
      </c>
      <c r="P11" s="17" t="str">
        <f t="shared" si="0"/>
        <v/>
      </c>
      <c r="Q11" s="17"/>
      <c r="U11" s="17"/>
    </row>
    <row r="12" spans="1:21" ht="15.5" x14ac:dyDescent="0.2">
      <c r="A12" s="112"/>
      <c r="B12" s="17" t="s">
        <v>145</v>
      </c>
      <c r="C12" s="17">
        <v>19.2</v>
      </c>
      <c r="D12" s="106">
        <v>5.6</v>
      </c>
      <c r="E12" s="17">
        <v>0</v>
      </c>
      <c r="F12" s="17">
        <v>1</v>
      </c>
      <c r="G12" s="17">
        <v>1</v>
      </c>
      <c r="H12" s="17">
        <f t="shared" si="1"/>
        <v>24.799999999999997</v>
      </c>
      <c r="I12" s="101">
        <v>22728</v>
      </c>
      <c r="J12" s="17">
        <v>952.8</v>
      </c>
      <c r="K12" s="17">
        <v>76068</v>
      </c>
      <c r="L12" s="108">
        <v>11</v>
      </c>
      <c r="M12" s="17">
        <v>2</v>
      </c>
      <c r="N12" s="17">
        <v>735.2</v>
      </c>
      <c r="O12" s="17">
        <f>IF(C12="","",(SLOPE(価格推定!$C$5:$C$46,価格推定!$B$5:$B$46)*C12+INTERCEPT(価格推定!$C$5:$C$46,価格推定!$B$5:$B$46))*C12)</f>
        <v>734.38799883299009</v>
      </c>
      <c r="P12" s="17">
        <f t="shared" si="0"/>
        <v>218.41200116700986</v>
      </c>
      <c r="Q12" s="17"/>
      <c r="U12" s="17"/>
    </row>
    <row r="13" spans="1:21" ht="15.5" x14ac:dyDescent="0.2">
      <c r="A13" s="17"/>
      <c r="B13" s="17" t="s">
        <v>143</v>
      </c>
      <c r="C13" s="17">
        <v>23.4</v>
      </c>
      <c r="D13" s="106">
        <v>3.5</v>
      </c>
      <c r="E13" s="17">
        <v>-45</v>
      </c>
      <c r="F13" s="17">
        <v>0</v>
      </c>
      <c r="G13" s="17">
        <v>0</v>
      </c>
      <c r="H13" s="100">
        <f t="shared" si="1"/>
        <v>23.4</v>
      </c>
      <c r="I13" s="110">
        <v>24003</v>
      </c>
      <c r="J13" s="17">
        <v>888.3</v>
      </c>
      <c r="K13" s="107">
        <v>80330</v>
      </c>
      <c r="L13" s="108">
        <v>9</v>
      </c>
      <c r="M13" s="17">
        <v>9</v>
      </c>
      <c r="N13" s="17">
        <v>901.9</v>
      </c>
      <c r="O13" s="17">
        <f>IF(C13="","",(SLOPE(価格推定!$C$5:$C$46,価格推定!$B$5:$B$46)*C13+INTERCEPT(価格推定!$C$5:$C$46,価格推定!$B$5:$B$46))*C13)</f>
        <v>886.81030809202332</v>
      </c>
      <c r="P13" s="17" t="str">
        <f t="shared" si="0"/>
        <v/>
      </c>
      <c r="Q13" s="17"/>
      <c r="U13" s="17"/>
    </row>
    <row r="14" spans="1:21" ht="15.5" x14ac:dyDescent="0.2">
      <c r="A14" s="17"/>
      <c r="B14" s="17" t="s">
        <v>147</v>
      </c>
      <c r="C14" s="17">
        <v>24.2</v>
      </c>
      <c r="D14" s="106">
        <v>3.5</v>
      </c>
      <c r="E14" s="17">
        <v>-45</v>
      </c>
      <c r="F14" s="17">
        <v>0</v>
      </c>
      <c r="G14" s="108">
        <v>0</v>
      </c>
      <c r="H14" s="17">
        <f t="shared" si="1"/>
        <v>24.2</v>
      </c>
      <c r="I14" s="110">
        <v>24823</v>
      </c>
      <c r="J14" s="17">
        <v>917.7</v>
      </c>
      <c r="K14" s="108">
        <v>83074</v>
      </c>
      <c r="L14" s="108">
        <v>9</v>
      </c>
      <c r="M14" s="17">
        <v>9</v>
      </c>
      <c r="N14" s="17">
        <v>933.7</v>
      </c>
      <c r="O14" s="17">
        <f>IF(C14="","",(SLOPE(価格推定!$C$5:$C$46,価格推定!$B$5:$B$46)*C14+INTERCEPT(価格推定!$C$5:$C$46,価格推定!$B$5:$B$46))*C14)</f>
        <v>915.50836840324007</v>
      </c>
      <c r="P14" s="17" t="str">
        <f t="shared" si="0"/>
        <v/>
      </c>
      <c r="Q14" s="17"/>
      <c r="U14" s="17"/>
    </row>
    <row r="15" spans="1:21" ht="15.5" x14ac:dyDescent="0.2">
      <c r="A15" s="17"/>
      <c r="B15" s="17" t="s">
        <v>148</v>
      </c>
      <c r="C15" s="17">
        <v>19.8</v>
      </c>
      <c r="D15" s="106">
        <v>3.5</v>
      </c>
      <c r="E15" s="17">
        <v>-30</v>
      </c>
      <c r="F15" s="17">
        <v>1</v>
      </c>
      <c r="G15" s="108">
        <v>0</v>
      </c>
      <c r="H15" s="17">
        <f t="shared" si="1"/>
        <v>25.4</v>
      </c>
      <c r="I15" s="110">
        <v>26546</v>
      </c>
      <c r="J15" s="17">
        <v>961.8</v>
      </c>
      <c r="K15" s="108">
        <v>88843</v>
      </c>
      <c r="L15" s="108">
        <v>9</v>
      </c>
      <c r="M15" s="17">
        <v>6</v>
      </c>
      <c r="N15" s="17">
        <v>1020.2</v>
      </c>
      <c r="O15" s="17">
        <f>IF(C15="","",(SLOPE(価格推定!$C$5:$C$46,価格推定!$B$5:$B$46)*C15+INTERCEPT(価格推定!$C$5:$C$46,価格推定!$B$5:$B$46))*C15)</f>
        <v>756.34338511143847</v>
      </c>
      <c r="P15" s="17">
        <f t="shared" si="0"/>
        <v>205.45661488856149</v>
      </c>
      <c r="Q15" s="17"/>
      <c r="U15" s="17"/>
    </row>
    <row r="16" spans="1:21" ht="15.5" x14ac:dyDescent="0.2">
      <c r="A16" s="17"/>
      <c r="B16" s="17" t="s">
        <v>149</v>
      </c>
      <c r="C16" s="17">
        <v>10.8</v>
      </c>
      <c r="D16" s="106">
        <v>1.5</v>
      </c>
      <c r="E16" s="17">
        <v>45</v>
      </c>
      <c r="F16" s="17">
        <v>0</v>
      </c>
      <c r="G16" s="108">
        <v>0</v>
      </c>
      <c r="H16" s="17">
        <f t="shared" si="1"/>
        <v>10.8</v>
      </c>
      <c r="I16" s="110">
        <v>9494</v>
      </c>
      <c r="J16" s="17">
        <v>423.2</v>
      </c>
      <c r="K16" s="108">
        <v>37162</v>
      </c>
      <c r="L16" s="108">
        <v>12</v>
      </c>
      <c r="M16" s="17">
        <v>0</v>
      </c>
      <c r="N16" s="17">
        <v>280.60000000000002</v>
      </c>
      <c r="O16" s="17">
        <f>IF(C16="","",(SLOPE(価格推定!$C$5:$C$46,価格推定!$B$5:$B$46)*C16+INTERCEPT(価格推定!$C$5:$C$46,価格推定!$B$5:$B$46))*C16)</f>
        <v>420.68561748418767</v>
      </c>
      <c r="P16" s="17" t="str">
        <f t="shared" si="0"/>
        <v/>
      </c>
      <c r="Q16" s="17"/>
      <c r="U16" s="17"/>
    </row>
    <row r="17" spans="1:21" ht="15.5" x14ac:dyDescent="0.2">
      <c r="A17" s="17"/>
      <c r="B17" s="17" t="s">
        <v>159</v>
      </c>
      <c r="C17" s="17">
        <v>18.399999999999999</v>
      </c>
      <c r="D17" s="106">
        <v>1.5</v>
      </c>
      <c r="E17" s="17">
        <v>0</v>
      </c>
      <c r="F17" s="17">
        <v>0</v>
      </c>
      <c r="G17" s="108">
        <v>0</v>
      </c>
      <c r="H17" s="17">
        <f t="shared" si="1"/>
        <v>18.399999999999999</v>
      </c>
      <c r="I17" s="110">
        <v>18983</v>
      </c>
      <c r="J17" s="17">
        <v>702.5</v>
      </c>
      <c r="K17" s="108">
        <v>63533</v>
      </c>
      <c r="L17" s="108">
        <v>9</v>
      </c>
      <c r="M17" s="17">
        <v>9</v>
      </c>
      <c r="N17" s="17">
        <v>713.4</v>
      </c>
      <c r="O17" s="17">
        <f>IF(C17="","",(SLOPE(価格推定!$C$5:$C$46,価格推定!$B$5:$B$46)*C17+INTERCEPT(価格推定!$C$5:$C$46,価格推定!$B$5:$B$46))*C17)</f>
        <v>705.02041752171783</v>
      </c>
      <c r="P17" s="17" t="str">
        <f t="shared" si="0"/>
        <v/>
      </c>
      <c r="Q17" s="17"/>
      <c r="U17" s="17"/>
    </row>
    <row r="18" spans="1:21" ht="15.5" x14ac:dyDescent="0.2">
      <c r="A18" s="17"/>
      <c r="B18" s="17" t="s">
        <v>183</v>
      </c>
      <c r="C18" s="17">
        <v>16</v>
      </c>
      <c r="D18" s="106">
        <v>1.5</v>
      </c>
      <c r="E18" s="17">
        <v>60</v>
      </c>
      <c r="F18" s="17">
        <v>0</v>
      </c>
      <c r="G18" s="108">
        <v>0</v>
      </c>
      <c r="H18" s="17">
        <f t="shared" si="1"/>
        <v>16</v>
      </c>
      <c r="I18" s="110">
        <v>14235</v>
      </c>
      <c r="J18" s="17">
        <v>614.29999999999995</v>
      </c>
      <c r="K18" s="108">
        <v>53945</v>
      </c>
      <c r="L18" s="108">
        <v>11</v>
      </c>
      <c r="M18" s="17">
        <v>7</v>
      </c>
      <c r="N18" s="17">
        <v>441.9</v>
      </c>
      <c r="O18" s="17">
        <f>IF(C18="","",(SLOPE(価格推定!$C$5:$C$46,価格推定!$B$5:$B$46)*C18+INTERCEPT(価格推定!$C$5:$C$46,価格推定!$B$5:$B$46))*C18)</f>
        <v>616.27493342784771</v>
      </c>
      <c r="P18" s="17" t="str">
        <f t="shared" si="0"/>
        <v/>
      </c>
      <c r="Q18" s="17"/>
      <c r="U18" s="17"/>
    </row>
    <row r="19" spans="1:21" x14ac:dyDescent="0.2">
      <c r="A19" s="17"/>
      <c r="B19" s="17"/>
      <c r="C19" s="17"/>
      <c r="D19" s="17"/>
      <c r="E19" s="17"/>
      <c r="F19" s="17"/>
      <c r="G19" s="108"/>
      <c r="H19" s="17"/>
      <c r="I19" s="17"/>
      <c r="J19" s="17"/>
      <c r="K19" s="108"/>
      <c r="L19" s="17"/>
      <c r="M19" s="17"/>
      <c r="N19" s="17"/>
      <c r="O19" s="17" t="str">
        <f>IF(C19="","",(SLOPE(価格推定!$C$5:$C$46,価格推定!$B$5:$B$46)*C19+INTERCEPT(価格推定!$C$5:$C$46,価格推定!$B$5:$B$46))*C19)</f>
        <v/>
      </c>
      <c r="P19" s="17" t="str">
        <f t="shared" si="0"/>
        <v/>
      </c>
      <c r="Q19" s="17"/>
      <c r="U19" s="17"/>
    </row>
    <row r="20" spans="1:21" x14ac:dyDescent="0.2">
      <c r="A20" s="17"/>
      <c r="B20" s="17"/>
      <c r="C20" s="17"/>
      <c r="D20" s="17"/>
      <c r="E20" s="17"/>
      <c r="F20" s="17"/>
      <c r="G20" s="108"/>
      <c r="H20" s="17"/>
      <c r="I20" s="17"/>
      <c r="J20" s="17"/>
      <c r="K20" s="108"/>
      <c r="L20" s="17"/>
      <c r="M20" s="17"/>
      <c r="N20" s="17"/>
      <c r="O20" s="17" t="str">
        <f>IF(C20="","",(SLOPE(価格推定!$C$5:$C$46,価格推定!$B$5:$B$46)*C20+INTERCEPT(価格推定!$C$5:$C$46,価格推定!$B$5:$B$46))*C20)</f>
        <v/>
      </c>
      <c r="P20" s="17" t="str">
        <f t="shared" si="0"/>
        <v/>
      </c>
      <c r="Q20" s="17"/>
      <c r="U20" s="17"/>
    </row>
    <row r="21" spans="1:21" x14ac:dyDescent="0.2">
      <c r="A21" s="17"/>
      <c r="B21" s="17"/>
      <c r="C21" s="17"/>
      <c r="D21" s="17"/>
      <c r="E21" s="17"/>
      <c r="F21" s="17"/>
      <c r="G21" s="108"/>
      <c r="H21" s="17"/>
      <c r="I21" s="17"/>
      <c r="J21" s="17"/>
      <c r="K21" s="108"/>
      <c r="L21" s="17"/>
      <c r="M21" s="17"/>
      <c r="N21" s="17"/>
      <c r="O21" s="17" t="str">
        <f>IF(C21="","",(SLOPE(価格推定!$C$5:$C$46,価格推定!$B$5:$B$46)*C21+INTERCEPT(価格推定!$C$5:$C$46,価格推定!$B$5:$B$46))*C21)</f>
        <v/>
      </c>
      <c r="P21" s="17" t="str">
        <f t="shared" si="0"/>
        <v/>
      </c>
      <c r="Q21" s="17"/>
      <c r="U21" s="17"/>
    </row>
    <row r="22" spans="1:2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08"/>
      <c r="L22" s="17"/>
      <c r="M22" s="17"/>
      <c r="N22" s="17"/>
      <c r="O22" s="17" t="str">
        <f>IF(C22="","",(SLOPE(価格推定!$C$5:$C$46,価格推定!$B$5:$B$46)*C22+INTERCEPT(価格推定!$C$5:$C$46,価格推定!$B$5:$B$46))*C22)</f>
        <v/>
      </c>
      <c r="P22" s="17" t="str">
        <f t="shared" si="0"/>
        <v/>
      </c>
      <c r="Q22" s="17"/>
      <c r="U22" s="17"/>
    </row>
    <row r="23" spans="1:2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08"/>
      <c r="L23" s="17"/>
      <c r="M23" s="17"/>
      <c r="N23" s="17"/>
      <c r="O23" s="17" t="str">
        <f>IF(C23="","",(SLOPE(価格推定!$C$5:$C$46,価格推定!$B$5:$B$46)*C23+INTERCEPT(価格推定!$C$5:$C$46,価格推定!$B$5:$B$46))*C23)</f>
        <v/>
      </c>
      <c r="P23" s="17" t="str">
        <f t="shared" si="0"/>
        <v/>
      </c>
      <c r="Q23" s="17"/>
      <c r="U23" s="17"/>
    </row>
    <row r="24" spans="1:2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 t="str">
        <f>IF(C24="","",(SLOPE(価格推定!$C$5:$C$46,価格推定!$B$5:$B$46)*C24+INTERCEPT(価格推定!$C$5:$C$46,価格推定!$B$5:$B$46))*C24)</f>
        <v/>
      </c>
      <c r="P24" s="17" t="str">
        <f t="shared" si="0"/>
        <v/>
      </c>
      <c r="Q24" s="17"/>
      <c r="U24" s="17"/>
    </row>
    <row r="25" spans="1:2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 t="str">
        <f>IF(C25="","",(SLOPE(価格推定!$C$5:$C$46,価格推定!$B$5:$B$46)*C25+INTERCEPT(価格推定!$C$5:$C$46,価格推定!$B$5:$B$46))*C25)</f>
        <v/>
      </c>
      <c r="P25" s="17" t="str">
        <f t="shared" si="0"/>
        <v/>
      </c>
      <c r="Q25" s="17"/>
      <c r="U25" s="17"/>
    </row>
    <row r="26" spans="1:2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 t="str">
        <f>IF(C26="","",(SLOPE(価格推定!$C$5:$C$46,価格推定!$B$5:$B$46)*C26+INTERCEPT(価格推定!$C$5:$C$46,価格推定!$B$5:$B$46))*C26)</f>
        <v/>
      </c>
      <c r="P26" s="17" t="str">
        <f t="shared" si="0"/>
        <v/>
      </c>
      <c r="Q26" s="17"/>
      <c r="U26" s="17"/>
    </row>
    <row r="27" spans="1:2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 t="str">
        <f>IF(C27="","",(SLOPE(価格推定!$C$5:$C$46,価格推定!$B$5:$B$46)*C27+INTERCEPT(価格推定!$C$5:$C$46,価格推定!$B$5:$B$46))*C27)</f>
        <v/>
      </c>
      <c r="P27" s="17" t="str">
        <f t="shared" si="0"/>
        <v/>
      </c>
      <c r="Q27" s="17"/>
      <c r="U27" s="17"/>
    </row>
    <row r="28" spans="1:2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tr">
        <f>IF(C28="","",(SLOPE(価格推定!$C$5:$C$46,価格推定!$B$5:$B$46)*C28+INTERCEPT(価格推定!$C$5:$C$46,価格推定!$B$5:$B$46))*C28)</f>
        <v/>
      </c>
      <c r="P28" s="17" t="str">
        <f t="shared" si="0"/>
        <v/>
      </c>
      <c r="Q28" s="17"/>
      <c r="U28" s="17"/>
    </row>
    <row r="29" spans="1:2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 t="str">
        <f>IF(C29="","",(SLOPE(価格推定!$C$5:$C$46,価格推定!$B$5:$B$46)*C29+INTERCEPT(価格推定!$C$5:$C$46,価格推定!$B$5:$B$46))*C29)</f>
        <v/>
      </c>
      <c r="P29" s="17" t="str">
        <f t="shared" si="0"/>
        <v/>
      </c>
      <c r="Q29" s="17"/>
      <c r="U29" s="17"/>
    </row>
    <row r="30" spans="1:2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 t="str">
        <f>IF(C30="","",(SLOPE(価格推定!$C$5:$C$46,価格推定!$B$5:$B$46)*C30+INTERCEPT(価格推定!$C$5:$C$46,価格推定!$B$5:$B$46))*C30)</f>
        <v/>
      </c>
      <c r="P30" s="17" t="str">
        <f t="shared" si="0"/>
        <v/>
      </c>
      <c r="Q30" s="17"/>
      <c r="U30" s="17"/>
    </row>
    <row r="31" spans="1:2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 t="str">
        <f>IF(C31="","",(SLOPE(価格推定!$C$5:$C$46,価格推定!$B$5:$B$46)*C31+INTERCEPT(価格推定!$C$5:$C$46,価格推定!$B$5:$B$46))*C31)</f>
        <v/>
      </c>
      <c r="P31" s="17" t="str">
        <f t="shared" si="0"/>
        <v/>
      </c>
      <c r="Q31" s="17"/>
      <c r="U31" s="17"/>
    </row>
    <row r="32" spans="1:2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 t="str">
        <f>IF(C32="","",(SLOPE(価格推定!$C$5:$C$46,価格推定!$B$5:$B$46)*C32+INTERCEPT(価格推定!$C$5:$C$46,価格推定!$B$5:$B$46))*C32)</f>
        <v/>
      </c>
      <c r="P32" s="17" t="str">
        <f t="shared" si="0"/>
        <v/>
      </c>
      <c r="Q32" s="17"/>
      <c r="U32" s="17"/>
    </row>
    <row r="33" spans="1:2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tr">
        <f>IF(C33="","",(SLOPE(価格推定!$C$5:$C$46,価格推定!$B$5:$B$46)*C33+INTERCEPT(価格推定!$C$5:$C$46,価格推定!$B$5:$B$46))*C33)</f>
        <v/>
      </c>
      <c r="P33" s="17" t="str">
        <f t="shared" si="0"/>
        <v/>
      </c>
      <c r="Q33" s="17"/>
      <c r="U33" s="17"/>
    </row>
    <row r="34" spans="1:2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tr">
        <f>IF(C34="","",(SLOPE(価格推定!$C$5:$C$46,価格推定!$B$5:$B$46)*C34+INTERCEPT(価格推定!$C$5:$C$46,価格推定!$B$5:$B$46))*C34)</f>
        <v/>
      </c>
      <c r="P34" s="17" t="str">
        <f t="shared" si="0"/>
        <v/>
      </c>
      <c r="Q34" s="17"/>
      <c r="U34" s="17"/>
    </row>
    <row r="35" spans="1:2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 t="str">
        <f>IF(C35="","",(SLOPE(価格推定!$C$5:$C$46,価格推定!$B$5:$B$46)*C35+INTERCEPT(価格推定!$C$5:$C$46,価格推定!$B$5:$B$46))*C35)</f>
        <v/>
      </c>
      <c r="P35" s="17" t="str">
        <f t="shared" si="0"/>
        <v/>
      </c>
      <c r="Q35" s="17"/>
      <c r="U35" s="17"/>
    </row>
    <row r="36" spans="1:2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 t="str">
        <f>IF(C36="","",(SLOPE(価格推定!$C$5:$C$46,価格推定!$B$5:$B$46)*C36+INTERCEPT(価格推定!$C$5:$C$46,価格推定!$B$5:$B$46))*C36)</f>
        <v/>
      </c>
      <c r="P36" s="17" t="str">
        <f t="shared" si="0"/>
        <v/>
      </c>
      <c r="Q36" s="17"/>
      <c r="U36" s="17"/>
    </row>
    <row r="37" spans="1:2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 t="str">
        <f>IF(C37="","",(SLOPE(価格推定!$C$5:$C$46,価格推定!$B$5:$B$46)*C37+INTERCEPT(価格推定!$C$5:$C$46,価格推定!$B$5:$B$46))*C37)</f>
        <v/>
      </c>
      <c r="P37" s="17" t="str">
        <f t="shared" si="0"/>
        <v/>
      </c>
      <c r="Q37" s="17"/>
      <c r="U37" s="17"/>
    </row>
    <row r="38" spans="1:2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 t="str">
        <f>IF(C38="","",(SLOPE(価格推定!$C$5:$C$46,価格推定!$B$5:$B$46)*C38+INTERCEPT(価格推定!$C$5:$C$46,価格推定!$B$5:$B$46))*C38)</f>
        <v/>
      </c>
      <c r="P38" s="17" t="str">
        <f t="shared" si="0"/>
        <v/>
      </c>
      <c r="Q38" s="17"/>
      <c r="U38" s="17"/>
    </row>
    <row r="39" spans="1:2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 t="str">
        <f>IF(C39="","",(SLOPE(価格推定!$C$5:$C$46,価格推定!$B$5:$B$46)*C39+INTERCEPT(価格推定!$C$5:$C$46,価格推定!$B$5:$B$46))*C39)</f>
        <v/>
      </c>
      <c r="P39" s="17" t="str">
        <f t="shared" si="0"/>
        <v/>
      </c>
      <c r="Q39" s="17"/>
      <c r="U39" s="17"/>
    </row>
    <row r="40" spans="1:2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 t="str">
        <f>IF(C40="","",(SLOPE(価格推定!$C$5:$C$46,価格推定!$B$5:$B$46)*C40+INTERCEPT(価格推定!$C$5:$C$46,価格推定!$B$5:$B$46))*C40)</f>
        <v/>
      </c>
      <c r="P40" s="17" t="str">
        <f t="shared" si="0"/>
        <v/>
      </c>
      <c r="Q40" s="17"/>
      <c r="U40" s="17"/>
    </row>
    <row r="41" spans="1:2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 t="str">
        <f>IF(C41="","",(SLOPE(価格推定!$C$5:$C$46,価格推定!$B$5:$B$46)*C41+INTERCEPT(価格推定!$C$5:$C$46,価格推定!$B$5:$B$46))*C41)</f>
        <v/>
      </c>
      <c r="P41" s="17" t="str">
        <f t="shared" si="0"/>
        <v/>
      </c>
      <c r="Q41" s="17"/>
      <c r="U41" s="17"/>
    </row>
    <row r="42" spans="1:2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 t="str">
        <f>IF(C42="","",(SLOPE(価格推定!$C$5:$C$46,価格推定!$B$5:$B$46)*C42+INTERCEPT(価格推定!$C$5:$C$46,価格推定!$B$5:$B$46))*C42)</f>
        <v/>
      </c>
      <c r="P42" s="17" t="str">
        <f t="shared" si="0"/>
        <v/>
      </c>
      <c r="Q42" s="17"/>
      <c r="U42" s="17"/>
    </row>
    <row r="43" spans="1:2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 t="str">
        <f>IF(C43="","",(SLOPE(価格推定!$C$5:$C$46,価格推定!$B$5:$B$46)*C43+INTERCEPT(価格推定!$C$5:$C$46,価格推定!$B$5:$B$46))*C43)</f>
        <v/>
      </c>
      <c r="P43" s="17" t="str">
        <f t="shared" si="0"/>
        <v/>
      </c>
      <c r="Q43" s="17"/>
      <c r="U43" s="17"/>
    </row>
    <row r="44" spans="1:2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 t="str">
        <f>IF(C44="","",(SLOPE(価格推定!$C$5:$C$46,価格推定!$B$5:$B$46)*C44+INTERCEPT(価格推定!$C$5:$C$46,価格推定!$B$5:$B$46))*C44)</f>
        <v/>
      </c>
      <c r="P44" s="17" t="str">
        <f t="shared" si="0"/>
        <v/>
      </c>
      <c r="Q44" s="17"/>
      <c r="U44" s="17"/>
    </row>
    <row r="45" spans="1:2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 t="str">
        <f>IF(C45="","",(SLOPE(価格推定!$C$5:$C$46,価格推定!$B$5:$B$46)*C45+INTERCEPT(価格推定!$C$5:$C$46,価格推定!$B$5:$B$46))*C45)</f>
        <v/>
      </c>
      <c r="P45" s="17" t="str">
        <f t="shared" si="0"/>
        <v/>
      </c>
      <c r="Q45" s="17"/>
      <c r="U45" s="17"/>
    </row>
    <row r="46" spans="1:2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 t="str">
        <f>IF(C46="","",(SLOPE(価格推定!$C$5:$C$46,価格推定!$B$5:$B$46)*C46+INTERCEPT(価格推定!$C$5:$C$46,価格推定!$B$5:$B$46))*C46)</f>
        <v/>
      </c>
      <c r="P46" s="17" t="str">
        <f t="shared" si="0"/>
        <v/>
      </c>
      <c r="Q46" s="17"/>
      <c r="U46" s="17"/>
    </row>
    <row r="47" spans="1:2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tr">
        <f>IF(C47="","",(SLOPE(価格推定!$C$5:$C$46,価格推定!$B$5:$B$46)*C47+INTERCEPT(価格推定!$C$5:$C$46,価格推定!$B$5:$B$46))*C47)</f>
        <v/>
      </c>
      <c r="P47" s="17" t="str">
        <f t="shared" si="0"/>
        <v/>
      </c>
      <c r="Q47" s="17"/>
      <c r="U47" s="17"/>
    </row>
    <row r="48" spans="1:2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 t="str">
        <f>IF(C48="","",(SLOPE(価格推定!$C$5:$C$46,価格推定!$B$5:$B$46)*C48+INTERCEPT(価格推定!$C$5:$C$46,価格推定!$B$5:$B$46))*C48)</f>
        <v/>
      </c>
      <c r="P48" s="17" t="str">
        <f t="shared" si="0"/>
        <v/>
      </c>
      <c r="Q48" s="17"/>
      <c r="U48" s="17"/>
    </row>
    <row r="49" spans="1:2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 t="str">
        <f>IF(C49="","",(SLOPE(価格推定!$C$5:$C$46,価格推定!$B$5:$B$46)*C49+INTERCEPT(価格推定!$C$5:$C$46,価格推定!$B$5:$B$46))*C49)</f>
        <v/>
      </c>
      <c r="P49" s="17" t="str">
        <f t="shared" si="0"/>
        <v/>
      </c>
      <c r="Q49" s="17"/>
      <c r="U49" s="17"/>
    </row>
    <row r="50" spans="1:2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 t="str">
        <f>IF(C50="","",(SLOPE(価格推定!$C$5:$C$46,価格推定!$B$5:$B$46)*C50+INTERCEPT(価格推定!$C$5:$C$46,価格推定!$B$5:$B$46))*C50)</f>
        <v/>
      </c>
      <c r="P50" s="17" t="str">
        <f t="shared" si="0"/>
        <v/>
      </c>
      <c r="Q50" s="17"/>
      <c r="U50" s="17"/>
    </row>
    <row r="51" spans="1:2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 t="str">
        <f>IF(C51="","",(SLOPE(価格推定!$C$5:$C$46,価格推定!$B$5:$B$46)*C51+INTERCEPT(価格推定!$C$5:$C$46,価格推定!$B$5:$B$46))*C51)</f>
        <v/>
      </c>
      <c r="P51" s="17" t="str">
        <f t="shared" si="0"/>
        <v/>
      </c>
      <c r="Q51" s="17"/>
      <c r="U51" s="17"/>
    </row>
    <row r="52" spans="1:2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 t="str">
        <f>IF(C52="","",(SLOPE(価格推定!$C$5:$C$46,価格推定!$B$5:$B$46)*C52+INTERCEPT(価格推定!$C$5:$C$46,価格推定!$B$5:$B$46))*C52)</f>
        <v/>
      </c>
      <c r="P52" s="17" t="str">
        <f t="shared" si="0"/>
        <v/>
      </c>
      <c r="Q52" s="17"/>
      <c r="U52" s="17"/>
    </row>
    <row r="53" spans="1:2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 t="str">
        <f>IF(C53="","",(SLOPE(価格推定!$C$5:$C$46,価格推定!$B$5:$B$46)*C53+INTERCEPT(価格推定!$C$5:$C$46,価格推定!$B$5:$B$46))*C53)</f>
        <v/>
      </c>
      <c r="P53" s="17" t="str">
        <f t="shared" si="0"/>
        <v/>
      </c>
      <c r="Q53" s="17"/>
      <c r="U53" s="17"/>
    </row>
    <row r="54" spans="1:2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 t="str">
        <f>IF(C54="","",(SLOPE(価格推定!$C$5:$C$46,価格推定!$B$5:$B$46)*C54+INTERCEPT(価格推定!$C$5:$C$46,価格推定!$B$5:$B$46))*C54)</f>
        <v/>
      </c>
      <c r="P54" s="17" t="str">
        <f t="shared" si="0"/>
        <v/>
      </c>
      <c r="Q54" s="17"/>
      <c r="U54" s="17"/>
    </row>
    <row r="55" spans="1:2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 t="str">
        <f>IF(C55="","",(SLOPE(価格推定!$C$5:$C$46,価格推定!$B$5:$B$46)*C55+INTERCEPT(価格推定!$C$5:$C$46,価格推定!$B$5:$B$46))*C55)</f>
        <v/>
      </c>
      <c r="P55" s="17" t="str">
        <f t="shared" si="0"/>
        <v/>
      </c>
      <c r="Q55" s="17"/>
      <c r="U55" s="17"/>
    </row>
    <row r="56" spans="1:2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 t="str">
        <f>IF(C56="","",(SLOPE(価格推定!$C$5:$C$46,価格推定!$B$5:$B$46)*C56+INTERCEPT(価格推定!$C$5:$C$46,価格推定!$B$5:$B$46))*C56)</f>
        <v/>
      </c>
      <c r="P56" s="17" t="str">
        <f t="shared" si="0"/>
        <v/>
      </c>
      <c r="Q56" s="17"/>
      <c r="U56" s="17"/>
    </row>
    <row r="57" spans="1:2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 t="str">
        <f>IF(C57="","",(SLOPE(価格推定!$C$5:$C$46,価格推定!$B$5:$B$46)*C57+INTERCEPT(価格推定!$C$5:$C$46,価格推定!$B$5:$B$46))*C57)</f>
        <v/>
      </c>
      <c r="P57" s="17" t="str">
        <f t="shared" si="0"/>
        <v/>
      </c>
      <c r="Q57" s="17"/>
      <c r="U57" s="17"/>
    </row>
    <row r="58" spans="1:2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 t="str">
        <f>IF(C58="","",(SLOPE(価格推定!$C$5:$C$46,価格推定!$B$5:$B$46)*C58+INTERCEPT(価格推定!$C$5:$C$46,価格推定!$B$5:$B$46))*C58)</f>
        <v/>
      </c>
      <c r="P58" s="17" t="str">
        <f t="shared" si="0"/>
        <v/>
      </c>
      <c r="Q58" s="17"/>
      <c r="U58" s="17"/>
    </row>
    <row r="59" spans="1:2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 t="str">
        <f>IF(C59="","",(SLOPE(価格推定!$C$5:$C$46,価格推定!$B$5:$B$46)*C59+INTERCEPT(価格推定!$C$5:$C$46,価格推定!$B$5:$B$46))*C59)</f>
        <v/>
      </c>
      <c r="P59" s="17" t="str">
        <f t="shared" si="0"/>
        <v/>
      </c>
      <c r="Q59" s="17"/>
      <c r="U59" s="17"/>
    </row>
    <row r="60" spans="1:2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 t="str">
        <f>IF(C60="","",(SLOPE(価格推定!$C$5:$C$46,価格推定!$B$5:$B$46)*C60+INTERCEPT(価格推定!$C$5:$C$46,価格推定!$B$5:$B$46))*C60)</f>
        <v/>
      </c>
      <c r="P60" s="17" t="str">
        <f t="shared" si="0"/>
        <v/>
      </c>
      <c r="Q60" s="17"/>
      <c r="U60" s="17"/>
    </row>
    <row r="61" spans="1:2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 t="str">
        <f>IF(C61="","",(SLOPE(価格推定!$C$5:$C$46,価格推定!$B$5:$B$46)*C61+INTERCEPT(価格推定!$C$5:$C$46,価格推定!$B$5:$B$46))*C61)</f>
        <v/>
      </c>
      <c r="P61" s="17" t="str">
        <f t="shared" si="0"/>
        <v/>
      </c>
      <c r="Q61" s="17"/>
      <c r="U61" s="17"/>
    </row>
    <row r="62" spans="1:2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 t="str">
        <f>IF(C62="","",(SLOPE(価格推定!$C$5:$C$46,価格推定!$B$5:$B$46)*C62+INTERCEPT(価格推定!$C$5:$C$46,価格推定!$B$5:$B$46))*C62)</f>
        <v/>
      </c>
      <c r="P62" s="17" t="str">
        <f t="shared" si="0"/>
        <v/>
      </c>
      <c r="Q62" s="17"/>
      <c r="U62" s="17"/>
    </row>
    <row r="63" spans="1:2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 t="str">
        <f>IF(C63="","",(SLOPE(価格推定!$C$5:$C$46,価格推定!$B$5:$B$46)*C63+INTERCEPT(価格推定!$C$5:$C$46,価格推定!$B$5:$B$46))*C63)</f>
        <v/>
      </c>
      <c r="P63" s="17" t="str">
        <f t="shared" si="0"/>
        <v/>
      </c>
      <c r="Q63" s="17"/>
      <c r="U63" s="17"/>
    </row>
    <row r="64" spans="1:2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 t="str">
        <f>IF(C64="","",(SLOPE(価格推定!$C$5:$C$46,価格推定!$B$5:$B$46)*C64+INTERCEPT(価格推定!$C$5:$C$46,価格推定!$B$5:$B$46))*C64)</f>
        <v/>
      </c>
      <c r="P64" s="17" t="str">
        <f t="shared" si="0"/>
        <v/>
      </c>
      <c r="Q64" s="17"/>
      <c r="U64" s="17"/>
    </row>
    <row r="65" spans="1:2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 t="str">
        <f>IF(C65="","",(SLOPE(価格推定!$C$5:$C$46,価格推定!$B$5:$B$46)*C65+INTERCEPT(価格推定!$C$5:$C$46,価格推定!$B$5:$B$46))*C65)</f>
        <v/>
      </c>
      <c r="P65" s="17" t="str">
        <f t="shared" si="0"/>
        <v/>
      </c>
      <c r="Q65" s="17"/>
      <c r="U65" s="17"/>
    </row>
    <row r="66" spans="1:2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 t="str">
        <f>IF(C66="","",(SLOPE(価格推定!$C$5:$C$46,価格推定!$B$5:$B$46)*C66+INTERCEPT(価格推定!$C$5:$C$46,価格推定!$B$5:$B$46))*C66)</f>
        <v/>
      </c>
      <c r="P66" s="17" t="str">
        <f t="shared" si="0"/>
        <v/>
      </c>
      <c r="Q66" s="17"/>
      <c r="U66" s="17"/>
    </row>
    <row r="67" spans="1:2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 t="str">
        <f>IF(C67="","",(SLOPE(価格推定!$C$5:$C$46,価格推定!$B$5:$B$46)*C67+INTERCEPT(価格推定!$C$5:$C$46,価格推定!$B$5:$B$46))*C67)</f>
        <v/>
      </c>
      <c r="P67" s="17" t="str">
        <f t="shared" si="0"/>
        <v/>
      </c>
      <c r="Q67" s="17"/>
      <c r="U67" s="17"/>
    </row>
    <row r="68" spans="1:2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 t="str">
        <f>IF(C68="","",(SLOPE(価格推定!$C$5:$C$46,価格推定!$B$5:$B$46)*C68+INTERCEPT(価格推定!$C$5:$C$46,価格推定!$B$5:$B$46))*C68)</f>
        <v/>
      </c>
      <c r="P68" s="17" t="str">
        <f t="shared" si="0"/>
        <v/>
      </c>
      <c r="Q68" s="17"/>
      <c r="U68" s="17"/>
    </row>
    <row r="69" spans="1:2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 t="str">
        <f>IF(C69="","",(SLOPE(価格推定!$C$5:$C$46,価格推定!$B$5:$B$46)*C69+INTERCEPT(価格推定!$C$5:$C$46,価格推定!$B$5:$B$46))*C69)</f>
        <v/>
      </c>
      <c r="P69" s="17" t="str">
        <f t="shared" si="0"/>
        <v/>
      </c>
      <c r="Q69" s="17"/>
      <c r="U69" s="17"/>
    </row>
    <row r="70" spans="1:2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 t="str">
        <f>IF(C70="","",(SLOPE(価格推定!$C$5:$C$46,価格推定!$B$5:$B$46)*C70+INTERCEPT(価格推定!$C$5:$C$46,価格推定!$B$5:$B$46))*C70)</f>
        <v/>
      </c>
      <c r="P70" s="17" t="str">
        <f t="shared" ref="P70:P100" si="2">IF(F70=0,"",(J70-O70)/F70)</f>
        <v/>
      </c>
      <c r="Q70" s="17"/>
      <c r="U70" s="17"/>
    </row>
    <row r="71" spans="1:2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 t="str">
        <f>IF(C71="","",(SLOPE(価格推定!$C$5:$C$46,価格推定!$B$5:$B$46)*C71+INTERCEPT(価格推定!$C$5:$C$46,価格推定!$B$5:$B$46))*C71)</f>
        <v/>
      </c>
      <c r="P71" s="17" t="str">
        <f t="shared" si="2"/>
        <v/>
      </c>
      <c r="Q71" s="17"/>
      <c r="U71" s="17"/>
    </row>
    <row r="72" spans="1:2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 t="str">
        <f>IF(C72="","",(SLOPE(価格推定!$C$5:$C$46,価格推定!$B$5:$B$46)*C72+INTERCEPT(価格推定!$C$5:$C$46,価格推定!$B$5:$B$46))*C72)</f>
        <v/>
      </c>
      <c r="P72" s="17" t="str">
        <f t="shared" si="2"/>
        <v/>
      </c>
      <c r="Q72" s="17"/>
      <c r="U72" s="17"/>
    </row>
    <row r="73" spans="1:2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 t="str">
        <f>IF(C73="","",(SLOPE(価格推定!$C$5:$C$46,価格推定!$B$5:$B$46)*C73+INTERCEPT(価格推定!$C$5:$C$46,価格推定!$B$5:$B$46))*C73)</f>
        <v/>
      </c>
      <c r="P73" s="17" t="str">
        <f t="shared" si="2"/>
        <v/>
      </c>
      <c r="Q73" s="17"/>
      <c r="U73" s="17"/>
    </row>
    <row r="74" spans="1:2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 t="str">
        <f>IF(C74="","",(SLOPE(価格推定!$C$5:$C$46,価格推定!$B$5:$B$46)*C74+INTERCEPT(価格推定!$C$5:$C$46,価格推定!$B$5:$B$46))*C74)</f>
        <v/>
      </c>
      <c r="P74" s="17" t="str">
        <f t="shared" si="2"/>
        <v/>
      </c>
      <c r="Q74" s="17"/>
      <c r="U74" s="17"/>
    </row>
    <row r="75" spans="1:2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 t="str">
        <f>IF(C75="","",(SLOPE(価格推定!$C$5:$C$46,価格推定!$B$5:$B$46)*C75+INTERCEPT(価格推定!$C$5:$C$46,価格推定!$B$5:$B$46))*C75)</f>
        <v/>
      </c>
      <c r="P75" s="17" t="str">
        <f t="shared" si="2"/>
        <v/>
      </c>
      <c r="Q75" s="17"/>
      <c r="U75" s="17"/>
    </row>
    <row r="76" spans="1:2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 t="str">
        <f>IF(C76="","",(SLOPE(価格推定!$C$5:$C$46,価格推定!$B$5:$B$46)*C76+INTERCEPT(価格推定!$C$5:$C$46,価格推定!$B$5:$B$46))*C76)</f>
        <v/>
      </c>
      <c r="P76" s="17" t="str">
        <f t="shared" si="2"/>
        <v/>
      </c>
      <c r="Q76" s="17"/>
      <c r="U76" s="17"/>
    </row>
    <row r="77" spans="1:2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 t="str">
        <f>IF(C77="","",(SLOPE(価格推定!$C$5:$C$46,価格推定!$B$5:$B$46)*C77+INTERCEPT(価格推定!$C$5:$C$46,価格推定!$B$5:$B$46))*C77)</f>
        <v/>
      </c>
      <c r="P77" s="17" t="str">
        <f t="shared" si="2"/>
        <v/>
      </c>
      <c r="Q77" s="17"/>
      <c r="U77" s="17"/>
    </row>
    <row r="78" spans="1:2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 t="str">
        <f>IF(C78="","",(SLOPE(価格推定!$C$5:$C$46,価格推定!$B$5:$B$46)*C78+INTERCEPT(価格推定!$C$5:$C$46,価格推定!$B$5:$B$46))*C78)</f>
        <v/>
      </c>
      <c r="P78" s="17" t="str">
        <f t="shared" si="2"/>
        <v/>
      </c>
      <c r="Q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 t="str">
        <f>IF(C79="","",(SLOPE(価格推定!$C$5:$C$46,価格推定!$B$5:$B$46)*C79+INTERCEPT(価格推定!$C$5:$C$46,価格推定!$B$5:$B$46))*C79)</f>
        <v/>
      </c>
      <c r="P79" s="17" t="str">
        <f t="shared" si="2"/>
        <v/>
      </c>
      <c r="Q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 t="str">
        <f>IF(C80="","",(SLOPE(価格推定!$C$5:$C$46,価格推定!$B$5:$B$46)*C80+INTERCEPT(価格推定!$C$5:$C$46,価格推定!$B$5:$B$46))*C80)</f>
        <v/>
      </c>
      <c r="P80" s="17" t="str">
        <f t="shared" si="2"/>
        <v/>
      </c>
      <c r="Q80" s="17"/>
      <c r="U80" s="17"/>
    </row>
    <row r="81" spans="1:2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 t="str">
        <f>IF(C81="","",(SLOPE(価格推定!$C$5:$C$46,価格推定!$B$5:$B$46)*C81+INTERCEPT(価格推定!$C$5:$C$46,価格推定!$B$5:$B$46))*C81)</f>
        <v/>
      </c>
      <c r="P81" s="17" t="str">
        <f t="shared" si="2"/>
        <v/>
      </c>
      <c r="Q81" s="17"/>
      <c r="U81" s="17"/>
    </row>
    <row r="82" spans="1:2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 t="str">
        <f>IF(C82="","",(SLOPE(価格推定!$C$5:$C$46,価格推定!$B$5:$B$46)*C82+INTERCEPT(価格推定!$C$5:$C$46,価格推定!$B$5:$B$46))*C82)</f>
        <v/>
      </c>
      <c r="P82" s="17" t="str">
        <f t="shared" si="2"/>
        <v/>
      </c>
      <c r="Q82" s="17"/>
      <c r="U82" s="17"/>
    </row>
    <row r="83" spans="1:2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 t="str">
        <f>IF(C83="","",(SLOPE(価格推定!$C$5:$C$46,価格推定!$B$5:$B$46)*C83+INTERCEPT(価格推定!$C$5:$C$46,価格推定!$B$5:$B$46))*C83)</f>
        <v/>
      </c>
      <c r="P83" s="17" t="str">
        <f t="shared" si="2"/>
        <v/>
      </c>
      <c r="Q83" s="17"/>
      <c r="U83" s="17"/>
    </row>
    <row r="84" spans="1:2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 t="str">
        <f>IF(C84="","",(SLOPE(価格推定!$C$5:$C$46,価格推定!$B$5:$B$46)*C84+INTERCEPT(価格推定!$C$5:$C$46,価格推定!$B$5:$B$46))*C84)</f>
        <v/>
      </c>
      <c r="P84" s="17" t="str">
        <f t="shared" si="2"/>
        <v/>
      </c>
      <c r="Q84" s="17"/>
      <c r="U84" s="17"/>
    </row>
    <row r="85" spans="1:2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 t="str">
        <f>IF(C85="","",(SLOPE(価格推定!$C$5:$C$46,価格推定!$B$5:$B$46)*C85+INTERCEPT(価格推定!$C$5:$C$46,価格推定!$B$5:$B$46))*C85)</f>
        <v/>
      </c>
      <c r="P85" s="17" t="str">
        <f t="shared" si="2"/>
        <v/>
      </c>
      <c r="Q85" s="17"/>
      <c r="U85" s="17"/>
    </row>
    <row r="86" spans="1:2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 t="str">
        <f>IF(C86="","",(SLOPE(価格推定!$C$5:$C$46,価格推定!$B$5:$B$46)*C86+INTERCEPT(価格推定!$C$5:$C$46,価格推定!$B$5:$B$46))*C86)</f>
        <v/>
      </c>
      <c r="P86" s="17" t="str">
        <f t="shared" si="2"/>
        <v/>
      </c>
      <c r="Q86" s="17"/>
      <c r="U86" s="17"/>
    </row>
    <row r="87" spans="1:2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 t="str">
        <f>IF(C87="","",(SLOPE(価格推定!$C$5:$C$46,価格推定!$B$5:$B$46)*C87+INTERCEPT(価格推定!$C$5:$C$46,価格推定!$B$5:$B$46))*C87)</f>
        <v/>
      </c>
      <c r="P87" s="17" t="str">
        <f t="shared" si="2"/>
        <v/>
      </c>
      <c r="Q87" s="17"/>
      <c r="U87" s="17"/>
    </row>
    <row r="88" spans="1:2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 t="str">
        <f>IF(C88="","",(SLOPE(価格推定!$C$5:$C$46,価格推定!$B$5:$B$46)*C88+INTERCEPT(価格推定!$C$5:$C$46,価格推定!$B$5:$B$46))*C88)</f>
        <v/>
      </c>
      <c r="P88" s="17" t="str">
        <f t="shared" si="2"/>
        <v/>
      </c>
      <c r="Q88" s="17"/>
      <c r="U88" s="17"/>
    </row>
    <row r="89" spans="1:2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 t="str">
        <f>IF(C89="","",(SLOPE(価格推定!$C$5:$C$46,価格推定!$B$5:$B$46)*C89+INTERCEPT(価格推定!$C$5:$C$46,価格推定!$B$5:$B$46))*C89)</f>
        <v/>
      </c>
      <c r="P89" s="17" t="str">
        <f t="shared" si="2"/>
        <v/>
      </c>
      <c r="Q89" s="17"/>
      <c r="U89" s="17"/>
    </row>
    <row r="90" spans="1:2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 t="str">
        <f>IF(C90="","",(SLOPE(価格推定!$C$5:$C$46,価格推定!$B$5:$B$46)*C90+INTERCEPT(価格推定!$C$5:$C$46,価格推定!$B$5:$B$46))*C90)</f>
        <v/>
      </c>
      <c r="P90" s="17" t="str">
        <f t="shared" si="2"/>
        <v/>
      </c>
      <c r="Q90" s="17"/>
      <c r="U90" s="17"/>
    </row>
    <row r="91" spans="1:2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 t="str">
        <f>IF(C91="","",(SLOPE(価格推定!$C$5:$C$46,価格推定!$B$5:$B$46)*C91+INTERCEPT(価格推定!$C$5:$C$46,価格推定!$B$5:$B$46))*C91)</f>
        <v/>
      </c>
      <c r="P91" s="17" t="str">
        <f t="shared" si="2"/>
        <v/>
      </c>
      <c r="Q91" s="17"/>
      <c r="U91" s="17"/>
    </row>
    <row r="92" spans="1:2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 t="str">
        <f>IF(C92="","",(SLOPE(価格推定!$C$5:$C$46,価格推定!$B$5:$B$46)*C92+INTERCEPT(価格推定!$C$5:$C$46,価格推定!$B$5:$B$46))*C92)</f>
        <v/>
      </c>
      <c r="P92" s="17" t="str">
        <f t="shared" si="2"/>
        <v/>
      </c>
      <c r="Q92" s="17"/>
      <c r="U92" s="17"/>
    </row>
    <row r="93" spans="1:2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 t="str">
        <f>IF(C93="","",(SLOPE(価格推定!$C$5:$C$46,価格推定!$B$5:$B$46)*C93+INTERCEPT(価格推定!$C$5:$C$46,価格推定!$B$5:$B$46))*C93)</f>
        <v/>
      </c>
      <c r="P93" s="17" t="str">
        <f t="shared" si="2"/>
        <v/>
      </c>
      <c r="Q93" s="17"/>
      <c r="U93" s="17"/>
    </row>
    <row r="94" spans="1:2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 t="str">
        <f>IF(C94="","",(SLOPE(価格推定!$C$5:$C$46,価格推定!$B$5:$B$46)*C94+INTERCEPT(価格推定!$C$5:$C$46,価格推定!$B$5:$B$46))*C94)</f>
        <v/>
      </c>
      <c r="P94" s="17" t="str">
        <f t="shared" si="2"/>
        <v/>
      </c>
      <c r="Q94" s="17"/>
      <c r="U94" s="17"/>
    </row>
    <row r="95" spans="1:2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 t="str">
        <f>IF(C95="","",(SLOPE(価格推定!$C$5:$C$46,価格推定!$B$5:$B$46)*C95+INTERCEPT(価格推定!$C$5:$C$46,価格推定!$B$5:$B$46))*C95)</f>
        <v/>
      </c>
      <c r="P95" s="17" t="str">
        <f t="shared" si="2"/>
        <v/>
      </c>
      <c r="Q95" s="17"/>
      <c r="U95" s="17"/>
    </row>
    <row r="96" spans="1:2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 t="str">
        <f>IF(C96="","",(SLOPE(価格推定!$C$5:$C$46,価格推定!$B$5:$B$46)*C96+INTERCEPT(価格推定!$C$5:$C$46,価格推定!$B$5:$B$46))*C96)</f>
        <v/>
      </c>
      <c r="P96" s="17" t="str">
        <f t="shared" si="2"/>
        <v/>
      </c>
      <c r="Q96" s="17"/>
      <c r="U96" s="17"/>
    </row>
    <row r="97" spans="1:2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 t="str">
        <f>IF(C97="","",(SLOPE(価格推定!$C$5:$C$46,価格推定!$B$5:$B$46)*C97+INTERCEPT(価格推定!$C$5:$C$46,価格推定!$B$5:$B$46))*C97)</f>
        <v/>
      </c>
      <c r="P97" s="17" t="str">
        <f t="shared" si="2"/>
        <v/>
      </c>
      <c r="Q97" s="17"/>
      <c r="U97" s="17"/>
    </row>
    <row r="98" spans="1:2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 t="str">
        <f>IF(C98="","",(SLOPE(価格推定!$C$5:$C$46,価格推定!$B$5:$B$46)*C98+INTERCEPT(価格推定!$C$5:$C$46,価格推定!$B$5:$B$46))*C98)</f>
        <v/>
      </c>
      <c r="P98" s="17" t="str">
        <f t="shared" si="2"/>
        <v/>
      </c>
      <c r="Q98" s="17"/>
      <c r="U98" s="17"/>
    </row>
    <row r="99" spans="1:2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 t="str">
        <f>IF(C99="","",(SLOPE(価格推定!$C$5:$C$46,価格推定!$B$5:$B$46)*C99+INTERCEPT(価格推定!$C$5:$C$46,価格推定!$B$5:$B$46))*C99)</f>
        <v/>
      </c>
      <c r="P99" s="17" t="str">
        <f t="shared" si="2"/>
        <v/>
      </c>
      <c r="Q99" s="17"/>
      <c r="U99" s="17"/>
    </row>
    <row r="100" spans="1:2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 t="str">
        <f>IF(C100="","",(SLOPE(価格推定!$C$5:$C$46,価格推定!$B$5:$B$46)*C100+INTERCEPT(価格推定!$C$5:$C$46,価格推定!$B$5:$B$46))*C100)</f>
        <v/>
      </c>
      <c r="P100" s="17" t="str">
        <f t="shared" si="2"/>
        <v/>
      </c>
      <c r="Q100" s="17"/>
      <c r="U100" s="17"/>
    </row>
    <row r="101" spans="1:2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U101" s="17"/>
    </row>
    <row r="102" spans="1:2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U102" s="17"/>
    </row>
    <row r="103" spans="1:2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U103" s="17"/>
    </row>
    <row r="104" spans="1:2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U104" s="17"/>
    </row>
    <row r="105" spans="1:2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U105" s="17"/>
    </row>
    <row r="106" spans="1:2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U106" s="17"/>
    </row>
    <row r="107" spans="1:2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U107" s="17"/>
    </row>
    <row r="108" spans="1:2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U108" s="17"/>
    </row>
    <row r="109" spans="1:2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U109" s="17"/>
    </row>
    <row r="110" spans="1:2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U110" s="17"/>
    </row>
    <row r="111" spans="1:2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U111" s="17"/>
    </row>
    <row r="112" spans="1:2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U112" s="17"/>
    </row>
    <row r="113" spans="1:2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U113" s="17"/>
    </row>
    <row r="114" spans="1:2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U114" s="17"/>
    </row>
    <row r="115" spans="1:2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U115" s="17"/>
    </row>
    <row r="116" spans="1:2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U116" s="17"/>
    </row>
    <row r="117" spans="1:2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U117" s="17"/>
    </row>
    <row r="118" spans="1:2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U118" s="17"/>
    </row>
    <row r="119" spans="1:2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U119" s="17"/>
    </row>
    <row r="120" spans="1:2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U120" s="17"/>
    </row>
    <row r="121" spans="1:2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U121" s="17"/>
    </row>
    <row r="122" spans="1:2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U122" s="17"/>
    </row>
    <row r="123" spans="1:2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U123" s="17"/>
    </row>
    <row r="124" spans="1:2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U124" s="17"/>
    </row>
    <row r="125" spans="1:2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U125" s="17"/>
    </row>
    <row r="126" spans="1:2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U126" s="17"/>
    </row>
    <row r="127" spans="1:2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U127" s="17"/>
    </row>
    <row r="128" spans="1:2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U128" s="17"/>
    </row>
    <row r="129" spans="1:2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U129" s="17"/>
    </row>
    <row r="130" spans="1:2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U130" s="17"/>
    </row>
    <row r="131" spans="1:2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U131" s="17"/>
    </row>
    <row r="132" spans="1:2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U132" s="17"/>
    </row>
    <row r="133" spans="1:2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U133" s="17"/>
    </row>
    <row r="134" spans="1:2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U134" s="17"/>
    </row>
    <row r="135" spans="1:2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U135" s="17"/>
    </row>
    <row r="136" spans="1:2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U136" s="17"/>
    </row>
    <row r="137" spans="1:2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U137" s="17"/>
    </row>
    <row r="138" spans="1:2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U138" s="17"/>
    </row>
    <row r="139" spans="1:2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U139" s="17"/>
    </row>
    <row r="140" spans="1:2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U140" s="17"/>
    </row>
    <row r="141" spans="1:2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U141" s="17"/>
    </row>
    <row r="142" spans="1:2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U142" s="17"/>
    </row>
    <row r="143" spans="1:2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U143" s="17"/>
    </row>
    <row r="144" spans="1:2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U144" s="17"/>
    </row>
    <row r="145" spans="1:2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U145" s="17"/>
    </row>
    <row r="146" spans="1:2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U146" s="17"/>
    </row>
    <row r="147" spans="1:2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U147" s="17"/>
    </row>
    <row r="148" spans="1:2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U148" s="17"/>
    </row>
    <row r="149" spans="1:2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U149" s="17"/>
    </row>
    <row r="150" spans="1:2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U150" s="17"/>
    </row>
    <row r="151" spans="1:2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U151" s="17"/>
    </row>
    <row r="152" spans="1:2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U152" s="17"/>
    </row>
    <row r="153" spans="1:2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U153" s="17"/>
    </row>
    <row r="154" spans="1:2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U154" s="17"/>
    </row>
    <row r="155" spans="1:2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U155" s="17"/>
    </row>
    <row r="156" spans="1:2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U156" s="17"/>
    </row>
    <row r="157" spans="1:2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U157" s="17"/>
    </row>
    <row r="158" spans="1:2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U158" s="17"/>
    </row>
    <row r="159" spans="1:2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U159" s="17"/>
    </row>
    <row r="160" spans="1:2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U160" s="17"/>
    </row>
    <row r="161" spans="1:2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U161" s="17"/>
    </row>
    <row r="162" spans="1:2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U162" s="17"/>
    </row>
    <row r="163" spans="1:2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U163" s="17"/>
    </row>
    <row r="164" spans="1:2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U164" s="17"/>
    </row>
    <row r="165" spans="1:2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U165" s="17"/>
    </row>
    <row r="166" spans="1:2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U166" s="17"/>
    </row>
    <row r="167" spans="1:2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U167" s="17"/>
    </row>
    <row r="168" spans="1:2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U168" s="17"/>
    </row>
    <row r="169" spans="1:2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U169" s="17"/>
    </row>
    <row r="170" spans="1:2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U170" s="17"/>
    </row>
    <row r="171" spans="1:2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U171" s="17"/>
    </row>
    <row r="172" spans="1:2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U172" s="17"/>
    </row>
    <row r="173" spans="1:2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U173" s="17"/>
    </row>
    <row r="174" spans="1:2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U174" s="17"/>
    </row>
    <row r="175" spans="1:2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U175" s="17"/>
    </row>
    <row r="176" spans="1:2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U176" s="17"/>
    </row>
    <row r="177" spans="1:2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U177" s="17"/>
    </row>
    <row r="178" spans="1:2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U178" s="17"/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78"/>
  <sheetViews>
    <sheetView workbookViewId="0">
      <selection activeCell="E48" sqref="E48"/>
    </sheetView>
  </sheetViews>
  <sheetFormatPr defaultRowHeight="13" x14ac:dyDescent="0.2"/>
  <cols>
    <col min="1" max="1" width="10.6328125" bestFit="1" customWidth="1"/>
  </cols>
  <sheetData>
    <row r="1" spans="1:3" x14ac:dyDescent="0.2">
      <c r="A1" s="17"/>
      <c r="B1" s="17"/>
      <c r="C1" s="17"/>
    </row>
    <row r="2" spans="1:3" x14ac:dyDescent="0.2">
      <c r="A2" s="17"/>
      <c r="B2" s="17"/>
      <c r="C2" s="17"/>
    </row>
    <row r="3" spans="1:3" x14ac:dyDescent="0.2">
      <c r="A3" s="17"/>
      <c r="B3" s="17"/>
      <c r="C3" s="17"/>
    </row>
    <row r="4" spans="1:3" x14ac:dyDescent="0.2">
      <c r="A4" s="17" t="s">
        <v>157</v>
      </c>
      <c r="B4" s="17" t="s">
        <v>129</v>
      </c>
      <c r="C4" s="17" t="s">
        <v>138</v>
      </c>
    </row>
    <row r="5" spans="1:3" x14ac:dyDescent="0.2">
      <c r="A5" s="17" t="str">
        <f>IF(皆さんのデータ!B5="","",皆さんのデータ!B5)</f>
        <v>Aさん</v>
      </c>
      <c r="B5" s="17"/>
      <c r="C5" s="17"/>
    </row>
    <row r="6" spans="1:3" x14ac:dyDescent="0.2">
      <c r="A6" s="17" t="str">
        <f>IF(皆さんのデータ!B6="","",皆さんのデータ!B6)</f>
        <v>じゅんさんA</v>
      </c>
      <c r="B6" s="17">
        <f>皆さんのデータ!C6</f>
        <v>13.2</v>
      </c>
      <c r="C6" s="17">
        <f>(皆さんのデータ!J6)/皆さんのデータ!C6</f>
        <v>38.712121212121211</v>
      </c>
    </row>
    <row r="7" spans="1:3" x14ac:dyDescent="0.2">
      <c r="A7" s="17" t="str">
        <f>IF(皆さんのデータ!B7="","",皆さんのデータ!B7)</f>
        <v>じゅんさんB</v>
      </c>
      <c r="B7" s="17">
        <f>皆さんのデータ!C7</f>
        <v>16.8</v>
      </c>
      <c r="C7" s="17">
        <f>(皆さんのデータ!J7)/皆さんのデータ!C7</f>
        <v>38.31547619047619</v>
      </c>
    </row>
    <row r="8" spans="1:3" x14ac:dyDescent="0.2">
      <c r="A8" s="17" t="str">
        <f>IF(皆さんのデータ!B8="","",皆さんのデータ!B8)</f>
        <v>kakuさん</v>
      </c>
      <c r="B8" s="17"/>
      <c r="C8" s="17"/>
    </row>
    <row r="9" spans="1:3" x14ac:dyDescent="0.2">
      <c r="A9" s="17" t="str">
        <f>IF(皆さんのデータ!B9="","",皆さんのデータ!B9)</f>
        <v>ちるりさん</v>
      </c>
      <c r="B9" s="17"/>
      <c r="C9" s="17"/>
    </row>
    <row r="10" spans="1:3" x14ac:dyDescent="0.2">
      <c r="A10" s="17" t="str">
        <f>IF(皆さんのデータ!B10="","",皆さんのデータ!B10)</f>
        <v>とりさん</v>
      </c>
      <c r="B10" s="17"/>
      <c r="C10" s="17"/>
    </row>
    <row r="11" spans="1:3" x14ac:dyDescent="0.2">
      <c r="A11" s="17" t="str">
        <f>IF(皆さんのデータ!B11="","",皆さんのデータ!B11)</f>
        <v>takeさん</v>
      </c>
      <c r="B11" s="17">
        <f>皆さんのデータ!C11</f>
        <v>22.8</v>
      </c>
      <c r="C11" s="17">
        <f>(皆さんのデータ!J11)/皆さんのデータ!C11</f>
        <v>37.995614035087719</v>
      </c>
    </row>
    <row r="12" spans="1:3" x14ac:dyDescent="0.2">
      <c r="A12" s="17" t="str">
        <f>IF(皆さんのデータ!B12="","",皆さんのデータ!B12)</f>
        <v>ナッツさん</v>
      </c>
      <c r="B12" s="17"/>
      <c r="C12" s="17"/>
    </row>
    <row r="13" spans="1:3" x14ac:dyDescent="0.2">
      <c r="A13" s="17" t="str">
        <f>IF(皆さんのデータ!B13="","",皆さんのデータ!B13)</f>
        <v>Bさん</v>
      </c>
      <c r="B13" s="17">
        <f>皆さんのデータ!C13</f>
        <v>23.4</v>
      </c>
      <c r="C13" s="17">
        <f>(皆さんのデータ!J13)/皆さんのデータ!C13</f>
        <v>37.96153846153846</v>
      </c>
    </row>
    <row r="14" spans="1:3" x14ac:dyDescent="0.2">
      <c r="A14" s="17" t="str">
        <f>IF(皆さんのデータ!B14="","",皆さんのデータ!B14)</f>
        <v>Bさん2</v>
      </c>
      <c r="B14" s="17">
        <f>皆さんのデータ!C14</f>
        <v>24.2</v>
      </c>
      <c r="C14" s="17">
        <f>(皆さんのデータ!J14)/皆さんのデータ!C14</f>
        <v>37.921487603305785</v>
      </c>
    </row>
    <row r="15" spans="1:3" x14ac:dyDescent="0.2">
      <c r="A15" s="17" t="str">
        <f>IF(皆さんのデータ!B15="","",皆さんのデータ!B15)</f>
        <v>Bさん3</v>
      </c>
      <c r="B15" s="17"/>
      <c r="C15" s="17"/>
    </row>
    <row r="16" spans="1:3" x14ac:dyDescent="0.2">
      <c r="A16" s="17" t="str">
        <f>IF(皆さんのデータ!B16="","",皆さんのデータ!B16)</f>
        <v>しんさん</v>
      </c>
      <c r="B16" s="17">
        <f>皆さんのデータ!C16</f>
        <v>10.8</v>
      </c>
      <c r="C16" s="17">
        <f>(皆さんのデータ!J16)/皆さんのデータ!C16</f>
        <v>39.185185185185183</v>
      </c>
    </row>
    <row r="17" spans="1:3" x14ac:dyDescent="0.2">
      <c r="A17" s="17" t="str">
        <f>IF(皆さんのデータ!B17="","",皆さんのデータ!B17)</f>
        <v>キラキラさん</v>
      </c>
      <c r="B17" s="17">
        <f>皆さんのデータ!C17</f>
        <v>18.399999999999999</v>
      </c>
      <c r="C17" s="17">
        <f>(皆さんのデータ!J17)/皆さんのデータ!C17</f>
        <v>38.179347826086961</v>
      </c>
    </row>
    <row r="18" spans="1:3" x14ac:dyDescent="0.2">
      <c r="A18" s="17" t="str">
        <f>IF(皆さんのデータ!B18="","",皆さんのデータ!B18)</f>
        <v>Cさん</v>
      </c>
      <c r="B18" s="17">
        <f>皆さんのデータ!C18</f>
        <v>16</v>
      </c>
      <c r="C18" s="17">
        <f>(皆さんのデータ!J18)/皆さんのデータ!C18</f>
        <v>38.393749999999997</v>
      </c>
    </row>
    <row r="19" spans="1:3" x14ac:dyDescent="0.2">
      <c r="A19" s="17" t="str">
        <f>IF(皆さんのデータ!B19="","",皆さんのデータ!B19)</f>
        <v/>
      </c>
      <c r="B19" s="17"/>
      <c r="C19" s="17"/>
    </row>
    <row r="20" spans="1:3" x14ac:dyDescent="0.2">
      <c r="A20" s="17" t="str">
        <f>IF(皆さんのデータ!B20="","",皆さんのデータ!B20)</f>
        <v/>
      </c>
      <c r="B20" s="17"/>
      <c r="C20" s="17"/>
    </row>
    <row r="21" spans="1:3" x14ac:dyDescent="0.2">
      <c r="A21" s="17" t="str">
        <f>IF(皆さんのデータ!B21="","",皆さんのデータ!B21)</f>
        <v/>
      </c>
      <c r="B21" s="17"/>
      <c r="C21" s="17"/>
    </row>
    <row r="22" spans="1:3" x14ac:dyDescent="0.2">
      <c r="A22" s="17" t="str">
        <f>IF(皆さんのデータ!B22="","",皆さんのデータ!B22)</f>
        <v/>
      </c>
      <c r="B22" s="17"/>
      <c r="C22" s="17"/>
    </row>
    <row r="23" spans="1:3" x14ac:dyDescent="0.2">
      <c r="A23" s="17" t="str">
        <f>IF(皆さんのデータ!B23="","",皆さんのデータ!B23)</f>
        <v/>
      </c>
      <c r="B23" s="17"/>
      <c r="C23" s="17"/>
    </row>
    <row r="24" spans="1:3" x14ac:dyDescent="0.2">
      <c r="A24" s="17" t="str">
        <f>IF(皆さんのデータ!B24="","",皆さんのデータ!B24)</f>
        <v/>
      </c>
      <c r="B24" s="17"/>
      <c r="C24" s="17"/>
    </row>
    <row r="25" spans="1:3" x14ac:dyDescent="0.2">
      <c r="A25" s="17" t="str">
        <f>IF(皆さんのデータ!B25="","",皆さんのデータ!B25)</f>
        <v/>
      </c>
      <c r="B25" s="17"/>
      <c r="C25" s="17"/>
    </row>
    <row r="26" spans="1:3" x14ac:dyDescent="0.2">
      <c r="A26" s="17" t="str">
        <f>IF(皆さんのデータ!B26="","",皆さんのデータ!B26)</f>
        <v/>
      </c>
      <c r="B26" s="17"/>
      <c r="C26" s="17"/>
    </row>
    <row r="27" spans="1:3" x14ac:dyDescent="0.2">
      <c r="A27" s="17" t="str">
        <f>IF(皆さんのデータ!B27="","",皆さんのデータ!B27)</f>
        <v/>
      </c>
      <c r="B27" s="17"/>
      <c r="C27" s="17"/>
    </row>
    <row r="28" spans="1:3" x14ac:dyDescent="0.2">
      <c r="A28" s="17" t="str">
        <f>IF(皆さんのデータ!B28="","",皆さんのデータ!B28)</f>
        <v/>
      </c>
      <c r="B28" s="17"/>
      <c r="C28" s="17"/>
    </row>
    <row r="29" spans="1:3" x14ac:dyDescent="0.2">
      <c r="A29" s="17" t="str">
        <f>IF(皆さんのデータ!B29="","",皆さんのデータ!B29)</f>
        <v/>
      </c>
      <c r="B29" s="17"/>
      <c r="C29" s="17"/>
    </row>
    <row r="30" spans="1:3" x14ac:dyDescent="0.2">
      <c r="A30" s="17" t="str">
        <f>IF(皆さんのデータ!B30="","",皆さんのデータ!B30)</f>
        <v/>
      </c>
      <c r="B30" s="17"/>
      <c r="C30" s="17"/>
    </row>
    <row r="31" spans="1:3" x14ac:dyDescent="0.2">
      <c r="A31" s="17" t="str">
        <f>IF(皆さんのデータ!B31="","",皆さんのデータ!B31)</f>
        <v/>
      </c>
      <c r="B31" s="17"/>
      <c r="C31" s="17"/>
    </row>
    <row r="32" spans="1:3" x14ac:dyDescent="0.2">
      <c r="A32" s="17" t="str">
        <f>IF(皆さんのデータ!B32="","",皆さんのデータ!B32)</f>
        <v/>
      </c>
      <c r="B32" s="17"/>
      <c r="C32" s="17"/>
    </row>
    <row r="33" spans="1:3" x14ac:dyDescent="0.2">
      <c r="A33" s="17" t="str">
        <f>IF(皆さんのデータ!B33="","",皆さんのデータ!B33)</f>
        <v/>
      </c>
      <c r="B33" s="17"/>
      <c r="C33" s="17"/>
    </row>
    <row r="34" spans="1:3" x14ac:dyDescent="0.2">
      <c r="A34" s="17" t="str">
        <f>IF(皆さんのデータ!B34="","",皆さんのデータ!B34)</f>
        <v/>
      </c>
      <c r="B34" s="17"/>
      <c r="C34" s="17"/>
    </row>
    <row r="35" spans="1:3" x14ac:dyDescent="0.2">
      <c r="A35" s="17" t="str">
        <f>IF(皆さんのデータ!B35="","",皆さんのデータ!B35)</f>
        <v/>
      </c>
      <c r="B35" s="17"/>
      <c r="C35" s="17"/>
    </row>
    <row r="36" spans="1:3" x14ac:dyDescent="0.2">
      <c r="A36" s="17" t="str">
        <f>IF(皆さんのデータ!B36="","",皆さんのデータ!B36)</f>
        <v/>
      </c>
      <c r="B36" s="17"/>
      <c r="C36" s="17"/>
    </row>
    <row r="37" spans="1:3" x14ac:dyDescent="0.2">
      <c r="A37" s="17" t="str">
        <f>IF(皆さんのデータ!B37="","",皆さんのデータ!B37)</f>
        <v/>
      </c>
      <c r="B37" s="17"/>
      <c r="C37" s="17"/>
    </row>
    <row r="38" spans="1:3" x14ac:dyDescent="0.2">
      <c r="A38" s="17" t="str">
        <f>IF(皆さんのデータ!B38="","",皆さんのデータ!B38)</f>
        <v/>
      </c>
      <c r="B38" s="17"/>
      <c r="C38" s="17"/>
    </row>
    <row r="39" spans="1:3" x14ac:dyDescent="0.2">
      <c r="A39" s="17" t="str">
        <f>IF(皆さんのデータ!B39="","",皆さんのデータ!B39)</f>
        <v/>
      </c>
      <c r="B39" s="17"/>
      <c r="C39" s="17"/>
    </row>
    <row r="40" spans="1:3" x14ac:dyDescent="0.2">
      <c r="A40" s="17" t="str">
        <f>IF(皆さんのデータ!B40="","",皆さんのデータ!B40)</f>
        <v/>
      </c>
      <c r="B40" s="17"/>
      <c r="C40" s="17"/>
    </row>
    <row r="41" spans="1:3" x14ac:dyDescent="0.2">
      <c r="A41" s="17" t="str">
        <f>IF(皆さんのデータ!B41="","",皆さんのデータ!B41)</f>
        <v/>
      </c>
      <c r="B41" s="17"/>
      <c r="C41" s="17"/>
    </row>
    <row r="42" spans="1:3" x14ac:dyDescent="0.2">
      <c r="A42" s="17" t="str">
        <f>IF(皆さんのデータ!B42="","",皆さんのデータ!B42)</f>
        <v/>
      </c>
      <c r="B42" s="17"/>
      <c r="C42" s="17"/>
    </row>
    <row r="43" spans="1:3" x14ac:dyDescent="0.2">
      <c r="A43" s="17" t="str">
        <f>IF(皆さんのデータ!B43="","",皆さんのデータ!B43)</f>
        <v/>
      </c>
      <c r="B43" s="17"/>
      <c r="C43" s="17"/>
    </row>
    <row r="44" spans="1:3" x14ac:dyDescent="0.2">
      <c r="A44" s="17" t="str">
        <f>IF(皆さんのデータ!B44="","",皆さんのデータ!B44)</f>
        <v/>
      </c>
      <c r="B44" s="17"/>
      <c r="C44" s="17"/>
    </row>
    <row r="45" spans="1:3" x14ac:dyDescent="0.2">
      <c r="A45" s="17" t="str">
        <f>IF(皆さんのデータ!B45="","",皆さんのデータ!B45)</f>
        <v/>
      </c>
      <c r="B45" s="17"/>
      <c r="C45" s="17"/>
    </row>
    <row r="46" spans="1:3" x14ac:dyDescent="0.2">
      <c r="A46" s="17" t="str">
        <f>IF(皆さんのデータ!B46="","",皆さんのデータ!B46)</f>
        <v/>
      </c>
      <c r="B46" s="17"/>
      <c r="C46" s="17"/>
    </row>
    <row r="47" spans="1:3" x14ac:dyDescent="0.2">
      <c r="A47" s="17" t="str">
        <f>IF(皆さんのデータ!B47="","",皆さんのデータ!B47)</f>
        <v/>
      </c>
      <c r="B47" s="17"/>
      <c r="C47" s="17"/>
    </row>
    <row r="48" spans="1:3" x14ac:dyDescent="0.2">
      <c r="A48" s="17" t="str">
        <f>IF(皆さんのデータ!B48="","",皆さんのデータ!B48)</f>
        <v/>
      </c>
      <c r="B48" s="17"/>
      <c r="C48" s="17"/>
    </row>
    <row r="49" spans="1:3" x14ac:dyDescent="0.2">
      <c r="A49" s="17" t="str">
        <f>IF(皆さんのデータ!B49="","",皆さんのデータ!B49)</f>
        <v/>
      </c>
      <c r="B49" s="17"/>
      <c r="C49" s="17"/>
    </row>
    <row r="50" spans="1:3" x14ac:dyDescent="0.2">
      <c r="A50" s="17" t="str">
        <f>IF(皆さんのデータ!B50="","",皆さんのデータ!B50)</f>
        <v/>
      </c>
      <c r="B50" s="17"/>
      <c r="C50" s="17"/>
    </row>
    <row r="51" spans="1:3" x14ac:dyDescent="0.2">
      <c r="A51" s="17" t="str">
        <f>IF(皆さんのデータ!B51="","",皆さんのデータ!B51)</f>
        <v/>
      </c>
      <c r="B51" s="17"/>
      <c r="C51" s="17"/>
    </row>
    <row r="52" spans="1:3" x14ac:dyDescent="0.2">
      <c r="A52" s="17" t="str">
        <f>IF(皆さんのデータ!B52="","",皆さんのデータ!B52)</f>
        <v/>
      </c>
      <c r="B52" s="17"/>
      <c r="C52" s="17"/>
    </row>
    <row r="53" spans="1:3" x14ac:dyDescent="0.2">
      <c r="A53" s="17" t="str">
        <f>IF(皆さんのデータ!B53="","",皆さんのデータ!B53)</f>
        <v/>
      </c>
      <c r="B53" s="17"/>
      <c r="C53" s="17"/>
    </row>
    <row r="54" spans="1:3" x14ac:dyDescent="0.2">
      <c r="A54" s="17" t="str">
        <f>IF(皆さんのデータ!B54="","",皆さんのデータ!B54)</f>
        <v/>
      </c>
      <c r="B54" s="17"/>
      <c r="C54" s="17"/>
    </row>
    <row r="55" spans="1:3" x14ac:dyDescent="0.2">
      <c r="A55" s="17" t="str">
        <f>IF(皆さんのデータ!B55="","",皆さんのデータ!B55)</f>
        <v/>
      </c>
      <c r="B55" s="17"/>
      <c r="C55" s="17"/>
    </row>
    <row r="56" spans="1:3" x14ac:dyDescent="0.2">
      <c r="A56" s="17" t="str">
        <f>IF(皆さんのデータ!B56="","",皆さんのデータ!B56)</f>
        <v/>
      </c>
      <c r="B56" s="17"/>
      <c r="C56" s="17"/>
    </row>
    <row r="57" spans="1:3" x14ac:dyDescent="0.2">
      <c r="A57" s="17" t="str">
        <f>IF(皆さんのデータ!B57="","",皆さんのデータ!B57)</f>
        <v/>
      </c>
      <c r="B57" s="17"/>
      <c r="C57" s="17"/>
    </row>
    <row r="58" spans="1:3" x14ac:dyDescent="0.2">
      <c r="A58" s="17" t="str">
        <f>IF(皆さんのデータ!B58="","",皆さんのデータ!B58)</f>
        <v/>
      </c>
      <c r="B58" s="17"/>
      <c r="C58" s="17"/>
    </row>
    <row r="59" spans="1:3" x14ac:dyDescent="0.2">
      <c r="A59" s="17" t="str">
        <f>IF(皆さんのデータ!B59="","",皆さんのデータ!B59)</f>
        <v/>
      </c>
      <c r="B59" s="17"/>
      <c r="C59" s="17"/>
    </row>
    <row r="60" spans="1:3" x14ac:dyDescent="0.2">
      <c r="A60" s="17" t="str">
        <f>IF(皆さんのデータ!B60="","",皆さんのデータ!B60)</f>
        <v/>
      </c>
      <c r="B60" s="17"/>
      <c r="C60" s="17"/>
    </row>
    <row r="61" spans="1:3" x14ac:dyDescent="0.2">
      <c r="A61" s="17" t="str">
        <f>IF(皆さんのデータ!B61="","",皆さんのデータ!B61)</f>
        <v/>
      </c>
      <c r="B61" s="17"/>
      <c r="C61" s="17"/>
    </row>
    <row r="62" spans="1:3" x14ac:dyDescent="0.2">
      <c r="A62" s="17" t="str">
        <f>IF(皆さんのデータ!B62="","",皆さんのデータ!B62)</f>
        <v/>
      </c>
      <c r="B62" s="17"/>
      <c r="C62" s="17"/>
    </row>
    <row r="63" spans="1:3" x14ac:dyDescent="0.2">
      <c r="A63" s="17" t="str">
        <f>IF(皆さんのデータ!B63="","",皆さんのデータ!B63)</f>
        <v/>
      </c>
      <c r="B63" s="17"/>
      <c r="C63" s="17"/>
    </row>
    <row r="64" spans="1:3" x14ac:dyDescent="0.2">
      <c r="A64" s="17" t="str">
        <f>IF(皆さんのデータ!B64="","",皆さんのデータ!B64)</f>
        <v/>
      </c>
      <c r="B64" s="17"/>
      <c r="C64" s="17"/>
    </row>
    <row r="65" spans="1:3" x14ac:dyDescent="0.2">
      <c r="A65" s="17" t="str">
        <f>IF(皆さんのデータ!B65="","",皆さんのデータ!B65)</f>
        <v/>
      </c>
      <c r="B65" s="17"/>
      <c r="C65" s="17"/>
    </row>
    <row r="66" spans="1:3" x14ac:dyDescent="0.2">
      <c r="A66" s="17" t="str">
        <f>IF(皆さんのデータ!B66="","",皆さんのデータ!B66)</f>
        <v/>
      </c>
      <c r="B66" s="17"/>
      <c r="C66" s="17"/>
    </row>
    <row r="67" spans="1:3" x14ac:dyDescent="0.2">
      <c r="A67" s="17" t="str">
        <f>IF(皆さんのデータ!B67="","",皆さんのデータ!B67)</f>
        <v/>
      </c>
      <c r="B67" s="17"/>
      <c r="C67" s="17"/>
    </row>
    <row r="68" spans="1:3" x14ac:dyDescent="0.2">
      <c r="A68" s="17" t="str">
        <f>IF(皆さんのデータ!B68="","",皆さんのデータ!B68)</f>
        <v/>
      </c>
      <c r="B68" s="17"/>
      <c r="C68" s="17"/>
    </row>
    <row r="69" spans="1:3" x14ac:dyDescent="0.2">
      <c r="A69" s="17" t="str">
        <f>IF(皆さんのデータ!B69="","",皆さんのデータ!B69)</f>
        <v/>
      </c>
      <c r="B69" s="17"/>
      <c r="C69" s="17"/>
    </row>
    <row r="70" spans="1:3" x14ac:dyDescent="0.2">
      <c r="A70" s="17" t="str">
        <f>IF(皆さんのデータ!B70="","",皆さんのデータ!B70)</f>
        <v/>
      </c>
      <c r="B70" s="17"/>
      <c r="C70" s="17"/>
    </row>
    <row r="71" spans="1:3" x14ac:dyDescent="0.2">
      <c r="A71" s="17" t="str">
        <f>IF(皆さんのデータ!B71="","",皆さんのデータ!B71)</f>
        <v/>
      </c>
      <c r="B71" s="17"/>
      <c r="C71" s="17"/>
    </row>
    <row r="72" spans="1:3" x14ac:dyDescent="0.2">
      <c r="A72" s="17" t="str">
        <f>IF(皆さんのデータ!B72="","",皆さんのデータ!B72)</f>
        <v/>
      </c>
      <c r="B72" s="17"/>
      <c r="C72" s="17"/>
    </row>
    <row r="73" spans="1:3" x14ac:dyDescent="0.2">
      <c r="A73" s="17" t="str">
        <f>IF(皆さんのデータ!B73="","",皆さんのデータ!B73)</f>
        <v/>
      </c>
      <c r="B73" s="17"/>
      <c r="C73" s="17"/>
    </row>
    <row r="74" spans="1:3" x14ac:dyDescent="0.2">
      <c r="A74" s="17" t="str">
        <f>IF(皆さんのデータ!B74="","",皆さんのデータ!B74)</f>
        <v/>
      </c>
      <c r="B74" s="17"/>
      <c r="C74" s="17"/>
    </row>
    <row r="75" spans="1:3" x14ac:dyDescent="0.2">
      <c r="A75" s="17" t="str">
        <f>IF(皆さんのデータ!B75="","",皆さんのデータ!B75)</f>
        <v/>
      </c>
      <c r="B75" s="17"/>
      <c r="C75" s="17"/>
    </row>
    <row r="76" spans="1:3" x14ac:dyDescent="0.2">
      <c r="A76" s="17" t="str">
        <f>IF(皆さんのデータ!B76="","",皆さんのデータ!B76)</f>
        <v/>
      </c>
      <c r="B76" s="17"/>
      <c r="C76" s="17"/>
    </row>
    <row r="77" spans="1:3" x14ac:dyDescent="0.2">
      <c r="A77" s="17" t="str">
        <f>IF(皆さんのデータ!B77="","",皆さんのデータ!B77)</f>
        <v/>
      </c>
      <c r="B77" s="17"/>
      <c r="C77" s="17"/>
    </row>
    <row r="78" spans="1:3" x14ac:dyDescent="0.2">
      <c r="A78" s="17" t="str">
        <f>IF(皆さんのデータ!B78="","",皆さんのデータ!B78)</f>
        <v/>
      </c>
      <c r="B78" s="17"/>
      <c r="C78" s="17"/>
    </row>
    <row r="79" spans="1:3" x14ac:dyDescent="0.2">
      <c r="A79" s="17" t="str">
        <f>IF(皆さんのデータ!B79="","",皆さんのデータ!B79)</f>
        <v/>
      </c>
      <c r="B79" s="17"/>
      <c r="C79" s="17"/>
    </row>
    <row r="80" spans="1:3" x14ac:dyDescent="0.2">
      <c r="A80" s="17" t="str">
        <f>IF(皆さんのデータ!B80="","",皆さんのデータ!B80)</f>
        <v/>
      </c>
      <c r="B80" s="17"/>
      <c r="C80" s="17"/>
    </row>
    <row r="81" spans="1:3" x14ac:dyDescent="0.2">
      <c r="A81" s="17" t="str">
        <f>IF(皆さんのデータ!B81="","",皆さんのデータ!B81)</f>
        <v/>
      </c>
      <c r="B81" s="17"/>
      <c r="C81" s="17"/>
    </row>
    <row r="82" spans="1:3" x14ac:dyDescent="0.2">
      <c r="A82" s="17" t="str">
        <f>IF(皆さんのデータ!B82="","",皆さんのデータ!B82)</f>
        <v/>
      </c>
      <c r="B82" s="17"/>
      <c r="C82" s="17"/>
    </row>
    <row r="83" spans="1:3" x14ac:dyDescent="0.2">
      <c r="A83" s="17" t="str">
        <f>IF(皆さんのデータ!B83="","",皆さんのデータ!B83)</f>
        <v/>
      </c>
      <c r="B83" s="17"/>
      <c r="C83" s="17"/>
    </row>
    <row r="84" spans="1:3" x14ac:dyDescent="0.2">
      <c r="A84" s="17" t="str">
        <f>IF(皆さんのデータ!B84="","",皆さんのデータ!B84)</f>
        <v/>
      </c>
      <c r="B84" s="17"/>
      <c r="C84" s="17"/>
    </row>
    <row r="85" spans="1:3" x14ac:dyDescent="0.2">
      <c r="A85" s="17" t="str">
        <f>IF(皆さんのデータ!B85="","",皆さんのデータ!B85)</f>
        <v/>
      </c>
      <c r="B85" s="17"/>
      <c r="C85" s="17"/>
    </row>
    <row r="86" spans="1:3" x14ac:dyDescent="0.2">
      <c r="A86" s="17" t="str">
        <f>IF(皆さんのデータ!B86="","",皆さんのデータ!B86)</f>
        <v/>
      </c>
      <c r="B86" s="17"/>
      <c r="C86" s="17"/>
    </row>
    <row r="87" spans="1:3" x14ac:dyDescent="0.2">
      <c r="A87" s="17" t="str">
        <f>IF(皆さんのデータ!B87="","",皆さんのデータ!B87)</f>
        <v/>
      </c>
      <c r="B87" s="17"/>
      <c r="C87" s="17"/>
    </row>
    <row r="88" spans="1:3" x14ac:dyDescent="0.2">
      <c r="A88" s="17" t="str">
        <f>IF(皆さんのデータ!B88="","",皆さんのデータ!B88)</f>
        <v/>
      </c>
      <c r="B88" s="17"/>
      <c r="C88" s="17"/>
    </row>
    <row r="89" spans="1:3" x14ac:dyDescent="0.2">
      <c r="A89" s="17" t="str">
        <f>IF(皆さんのデータ!B89="","",皆さんのデータ!B89)</f>
        <v/>
      </c>
      <c r="B89" s="17"/>
      <c r="C89" s="17"/>
    </row>
    <row r="90" spans="1:3" x14ac:dyDescent="0.2">
      <c r="A90" s="17" t="str">
        <f>IF(皆さんのデータ!B90="","",皆さんのデータ!B90)</f>
        <v/>
      </c>
      <c r="B90" s="17"/>
      <c r="C90" s="17"/>
    </row>
    <row r="91" spans="1:3" x14ac:dyDescent="0.2">
      <c r="A91" s="17" t="str">
        <f>IF(皆さんのデータ!B91="","",皆さんのデータ!B91)</f>
        <v/>
      </c>
      <c r="B91" s="17"/>
      <c r="C91" s="17"/>
    </row>
    <row r="92" spans="1:3" x14ac:dyDescent="0.2">
      <c r="A92" s="17" t="str">
        <f>IF(皆さんのデータ!B92="","",皆さんのデータ!B92)</f>
        <v/>
      </c>
      <c r="B92" s="17"/>
      <c r="C92" s="17"/>
    </row>
    <row r="93" spans="1:3" x14ac:dyDescent="0.2">
      <c r="A93" s="17" t="str">
        <f>IF(皆さんのデータ!B93="","",皆さんのデータ!B93)</f>
        <v/>
      </c>
      <c r="B93" s="17"/>
      <c r="C93" s="17"/>
    </row>
    <row r="94" spans="1:3" x14ac:dyDescent="0.2">
      <c r="A94" s="17" t="str">
        <f>IF(皆さんのデータ!B94="","",皆さんのデータ!B94)</f>
        <v/>
      </c>
      <c r="B94" s="17"/>
      <c r="C94" s="17"/>
    </row>
    <row r="95" spans="1:3" x14ac:dyDescent="0.2">
      <c r="A95" s="17" t="str">
        <f>IF(皆さんのデータ!B95="","",皆さんのデータ!B95)</f>
        <v/>
      </c>
      <c r="B95" s="17"/>
      <c r="C95" s="17"/>
    </row>
    <row r="96" spans="1:3" x14ac:dyDescent="0.2">
      <c r="A96" s="17" t="str">
        <f>IF(皆さんのデータ!B96="","",皆さんのデータ!B96)</f>
        <v/>
      </c>
      <c r="B96" s="17"/>
      <c r="C96" s="17"/>
    </row>
    <row r="97" spans="1:3" x14ac:dyDescent="0.2">
      <c r="A97" s="17" t="str">
        <f>IF(皆さんのデータ!B97="","",皆さんのデータ!B97)</f>
        <v/>
      </c>
      <c r="B97" s="17"/>
      <c r="C97" s="17"/>
    </row>
    <row r="98" spans="1:3" x14ac:dyDescent="0.2">
      <c r="A98" s="17" t="str">
        <f>IF(皆さんのデータ!B98="","",皆さんのデータ!B98)</f>
        <v/>
      </c>
      <c r="B98" s="17"/>
      <c r="C98" s="17"/>
    </row>
    <row r="99" spans="1:3" x14ac:dyDescent="0.2">
      <c r="A99" s="17" t="str">
        <f>IF(皆さんのデータ!B99="","",皆さんのデータ!B99)</f>
        <v/>
      </c>
      <c r="B99" s="17"/>
      <c r="C99" s="17"/>
    </row>
    <row r="100" spans="1:3" x14ac:dyDescent="0.2">
      <c r="A100" s="17" t="str">
        <f>IF(皆さんのデータ!B100="","",皆さんのデータ!B100)</f>
        <v/>
      </c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</sheetData>
  <phoneticPr fontId="6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シミュレーション設定</vt:lpstr>
      <vt:lpstr>system</vt:lpstr>
      <vt:lpstr>売電単価</vt:lpstr>
      <vt:lpstr>パラメータ類</vt:lpstr>
      <vt:lpstr>バージョン情報</vt:lpstr>
      <vt:lpstr>皆さんのデータ</vt:lpstr>
      <vt:lpstr>価格推定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tomonori</cp:lastModifiedBy>
  <cp:lastPrinted>2015-10-20T05:47:49Z</cp:lastPrinted>
  <dcterms:created xsi:type="dcterms:W3CDTF">2013-02-05T11:29:15Z</dcterms:created>
  <dcterms:modified xsi:type="dcterms:W3CDTF">2015-10-20T06:11:20Z</dcterms:modified>
  <cp:contentStatus/>
</cp:coreProperties>
</file>